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autoCompressPictures="0"/>
  <mc:AlternateContent xmlns:mc="http://schemas.openxmlformats.org/markup-compatibility/2006">
    <mc:Choice Requires="x15">
      <x15ac:absPath xmlns:x15ac="http://schemas.microsoft.com/office/spreadsheetml/2010/11/ac" url="C:\Users\alongenberger\Desktop\FDS\"/>
    </mc:Choice>
  </mc:AlternateContent>
  <xr:revisionPtr revIDLastSave="0" documentId="13_ncr:1_{FE64CBE2-6009-4647-982E-7E37ABB5AD5B}" xr6:coauthVersionLast="47" xr6:coauthVersionMax="47" xr10:uidLastSave="{00000000-0000-0000-0000-000000000000}"/>
  <bookViews>
    <workbookView xWindow="-120" yWindow="-120" windowWidth="29040" windowHeight="15840" tabRatio="924" xr2:uid="{00000000-000D-0000-FFFF-FFFF00000000}"/>
  </bookViews>
  <sheets>
    <sheet name="Instructions" sheetId="14" r:id="rId1"/>
    <sheet name="Definitions" sheetId="6" r:id="rId2"/>
    <sheet name="CIP Codes" sheetId="15" r:id="rId3"/>
    <sheet name="Higher Education Institutions" sheetId="16" state="hidden" r:id="rId4"/>
    <sheet name="Associate's Summary" sheetId="7" r:id="rId5"/>
    <sheet name="Bachelor's Summary" sheetId="8" r:id="rId6"/>
    <sheet name="Master's Summary" sheetId="9" r:id="rId7"/>
    <sheet name="Doctoral Summary" sheetId="10" r:id="rId8"/>
    <sheet name="Program Data Associate's" sheetId="2" r:id="rId9"/>
    <sheet name="Program Data - Bachelor's" sheetId="11" r:id="rId10"/>
    <sheet name="Program Data - Master's" sheetId="12" r:id="rId11"/>
    <sheet name="Program Data - Doctoral"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49" i="15" l="1"/>
  <c r="A2849" i="15"/>
  <c r="B2848" i="15"/>
  <c r="A2848" i="15"/>
  <c r="B2847" i="15"/>
  <c r="A2847" i="15"/>
  <c r="B2846" i="15"/>
  <c r="A2846" i="15"/>
  <c r="B2845" i="15"/>
  <c r="A2845" i="15"/>
  <c r="B2844" i="15"/>
  <c r="A2844" i="15"/>
  <c r="B2843" i="15"/>
  <c r="A2843" i="15"/>
  <c r="B2842" i="15"/>
  <c r="A2842" i="15"/>
  <c r="B2841" i="15"/>
  <c r="A2841" i="15"/>
  <c r="B2840" i="15"/>
  <c r="A2840" i="15"/>
  <c r="B2839" i="15"/>
  <c r="A2839" i="15"/>
  <c r="B2838" i="15"/>
  <c r="A2838" i="15"/>
  <c r="B2837" i="15"/>
  <c r="A2837" i="15"/>
  <c r="B2836" i="15"/>
  <c r="A2836" i="15"/>
  <c r="B2835" i="15"/>
  <c r="A2835" i="15"/>
  <c r="B2834" i="15"/>
  <c r="A2834" i="15"/>
  <c r="B2833" i="15"/>
  <c r="A2833" i="15"/>
  <c r="B2832" i="15"/>
  <c r="A2832" i="15"/>
  <c r="B2831" i="15"/>
  <c r="A2831" i="15"/>
  <c r="B2830" i="15"/>
  <c r="A2830" i="15"/>
  <c r="B2829" i="15"/>
  <c r="A2829" i="15"/>
  <c r="B2828" i="15"/>
  <c r="A2828" i="15"/>
  <c r="B2827" i="15"/>
  <c r="A2827" i="15"/>
  <c r="B2826" i="15"/>
  <c r="A2826" i="15"/>
  <c r="B2825" i="15"/>
  <c r="A2825" i="15"/>
  <c r="B2824" i="15"/>
  <c r="A2824" i="15"/>
  <c r="B2823" i="15"/>
  <c r="A2823" i="15"/>
  <c r="B2822" i="15"/>
  <c r="A2822" i="15"/>
  <c r="B2821" i="15"/>
  <c r="A2821" i="15"/>
  <c r="B2820" i="15"/>
  <c r="A2820" i="15"/>
  <c r="B2819" i="15"/>
  <c r="A2819" i="15"/>
  <c r="B2818" i="15"/>
  <c r="A2818" i="15"/>
  <c r="B2817" i="15"/>
  <c r="A2817" i="15"/>
  <c r="B2816" i="15"/>
  <c r="A2816" i="15"/>
  <c r="B2815" i="15"/>
  <c r="A2815" i="15"/>
  <c r="B2814" i="15"/>
  <c r="A2814" i="15"/>
  <c r="B2813" i="15"/>
  <c r="A2813" i="15"/>
  <c r="B2812" i="15"/>
  <c r="A2812" i="15"/>
  <c r="B2811" i="15"/>
  <c r="A2811" i="15"/>
  <c r="B2810" i="15"/>
  <c r="A2810" i="15"/>
  <c r="B2809" i="15"/>
  <c r="A2809" i="15"/>
  <c r="B2808" i="15"/>
  <c r="A2808" i="15"/>
  <c r="B2807" i="15"/>
  <c r="A2807" i="15"/>
  <c r="B2806" i="15"/>
  <c r="A2806" i="15"/>
  <c r="B2805" i="15"/>
  <c r="A2805" i="15"/>
  <c r="B2804" i="15"/>
  <c r="A2804" i="15"/>
  <c r="B2803" i="15"/>
  <c r="A2803" i="15"/>
  <c r="B2802" i="15"/>
  <c r="A2802" i="15"/>
  <c r="B2801" i="15"/>
  <c r="A2801" i="15"/>
  <c r="B2800" i="15"/>
  <c r="A2800" i="15"/>
  <c r="B2799" i="15"/>
  <c r="A2799" i="15"/>
  <c r="B2798" i="15"/>
  <c r="A2798" i="15"/>
  <c r="B2797" i="15"/>
  <c r="A2797" i="15"/>
  <c r="B2796" i="15"/>
  <c r="A2796" i="15"/>
  <c r="B2795" i="15"/>
  <c r="A2795" i="15"/>
  <c r="B2794" i="15"/>
  <c r="A2794" i="15"/>
  <c r="B2793" i="15"/>
  <c r="A2793" i="15"/>
  <c r="B2792" i="15"/>
  <c r="A2792" i="15"/>
  <c r="B2791" i="15"/>
  <c r="A2791" i="15"/>
  <c r="B2790" i="15"/>
  <c r="A2790" i="15"/>
  <c r="B2789" i="15"/>
  <c r="A2789" i="15"/>
  <c r="B2788" i="15"/>
  <c r="A2788" i="15"/>
  <c r="B2787" i="15"/>
  <c r="A2787" i="15"/>
  <c r="B2786" i="15"/>
  <c r="A2786" i="15"/>
  <c r="B2785" i="15"/>
  <c r="A2785" i="15"/>
  <c r="B2784" i="15"/>
  <c r="A2784" i="15"/>
  <c r="B2783" i="15"/>
  <c r="A2783" i="15"/>
  <c r="B2782" i="15"/>
  <c r="A2782" i="15"/>
  <c r="B2781" i="15"/>
  <c r="A2781" i="15"/>
  <c r="B2780" i="15"/>
  <c r="A2780" i="15"/>
  <c r="B2779" i="15"/>
  <c r="A2779" i="15"/>
  <c r="B2778" i="15"/>
  <c r="A2778" i="15"/>
  <c r="B2777" i="15"/>
  <c r="A2777" i="15"/>
  <c r="B2776" i="15"/>
  <c r="A2776" i="15"/>
  <c r="B2775" i="15"/>
  <c r="A2775" i="15"/>
  <c r="B2774" i="15"/>
  <c r="A2774" i="15"/>
  <c r="B2773" i="15"/>
  <c r="A2773" i="15"/>
  <c r="B2772" i="15"/>
  <c r="A2772" i="15"/>
  <c r="B2771" i="15"/>
  <c r="A2771" i="15"/>
  <c r="B2770" i="15"/>
  <c r="A2770" i="15"/>
  <c r="B2769" i="15"/>
  <c r="A2769" i="15"/>
  <c r="B2768" i="15"/>
  <c r="A2768" i="15"/>
  <c r="B2767" i="15"/>
  <c r="A2767" i="15"/>
  <c r="B2766" i="15"/>
  <c r="A2766" i="15"/>
  <c r="B2765" i="15"/>
  <c r="A2765" i="15"/>
  <c r="B2764" i="15"/>
  <c r="A2764" i="15"/>
  <c r="B2763" i="15"/>
  <c r="A2763" i="15"/>
  <c r="B2762" i="15"/>
  <c r="A2762" i="15"/>
  <c r="B2761" i="15"/>
  <c r="A2761" i="15"/>
  <c r="B2760" i="15"/>
  <c r="A2760" i="15"/>
  <c r="B2759" i="15"/>
  <c r="A2759" i="15"/>
  <c r="B2758" i="15"/>
  <c r="A2758" i="15"/>
  <c r="B2757" i="15"/>
  <c r="A2757" i="15"/>
  <c r="B2756" i="15"/>
  <c r="A2756" i="15"/>
  <c r="B2755" i="15"/>
  <c r="A2755" i="15"/>
  <c r="B2754" i="15"/>
  <c r="A2754" i="15"/>
  <c r="B2753" i="15"/>
  <c r="A2753" i="15"/>
  <c r="B2752" i="15"/>
  <c r="A2752" i="15"/>
  <c r="B2751" i="15"/>
  <c r="A2751" i="15"/>
  <c r="B2750" i="15"/>
  <c r="A2750" i="15"/>
  <c r="B2749" i="15"/>
  <c r="A2749" i="15"/>
  <c r="B2748" i="15"/>
  <c r="A2748" i="15"/>
  <c r="B2747" i="15"/>
  <c r="A2747" i="15"/>
  <c r="B2746" i="15"/>
  <c r="A2746" i="15"/>
  <c r="B2745" i="15"/>
  <c r="A2745" i="15"/>
  <c r="B2744" i="15"/>
  <c r="A2744" i="15"/>
  <c r="B2743" i="15"/>
  <c r="A2743" i="15"/>
  <c r="B2742" i="15"/>
  <c r="A2742" i="15"/>
  <c r="B2741" i="15"/>
  <c r="A2741" i="15"/>
  <c r="B2740" i="15"/>
  <c r="A2740" i="15"/>
  <c r="B2739" i="15"/>
  <c r="A2739" i="15"/>
  <c r="B2738" i="15"/>
  <c r="A2738" i="15"/>
  <c r="B2737" i="15"/>
  <c r="A2737" i="15"/>
  <c r="B2736" i="15"/>
  <c r="A2736" i="15"/>
  <c r="B2735" i="15"/>
  <c r="A2735" i="15"/>
  <c r="B2734" i="15"/>
  <c r="A2734" i="15"/>
  <c r="B2733" i="15"/>
  <c r="A2733" i="15"/>
  <c r="B2732" i="15"/>
  <c r="A2732" i="15"/>
  <c r="B2731" i="15"/>
  <c r="A2731" i="15"/>
  <c r="B2730" i="15"/>
  <c r="A2730" i="15"/>
  <c r="B2729" i="15"/>
  <c r="A2729" i="15"/>
  <c r="B2728" i="15"/>
  <c r="A2728" i="15"/>
  <c r="B2727" i="15"/>
  <c r="A2727" i="15"/>
  <c r="B2726" i="15"/>
  <c r="A2726" i="15"/>
  <c r="B2725" i="15"/>
  <c r="A2725" i="15"/>
  <c r="B2724" i="15"/>
  <c r="A2724" i="15"/>
  <c r="B2723" i="15"/>
  <c r="A2723" i="15"/>
  <c r="B2722" i="15"/>
  <c r="A2722" i="15"/>
  <c r="B2721" i="15"/>
  <c r="A2721" i="15"/>
  <c r="B2720" i="15"/>
  <c r="A2720" i="15"/>
  <c r="B2719" i="15"/>
  <c r="A2719" i="15"/>
  <c r="B2718" i="15"/>
  <c r="A2718" i="15"/>
  <c r="B2717" i="15"/>
  <c r="A2717" i="15"/>
  <c r="B2716" i="15"/>
  <c r="A2716" i="15"/>
  <c r="B2715" i="15"/>
  <c r="A2715" i="15"/>
  <c r="B2714" i="15"/>
  <c r="A2714" i="15"/>
  <c r="B2713" i="15"/>
  <c r="A2713" i="15"/>
  <c r="B2712" i="15"/>
  <c r="A2712" i="15"/>
  <c r="B2711" i="15"/>
  <c r="A2711" i="15"/>
  <c r="B2710" i="15"/>
  <c r="A2710" i="15"/>
  <c r="B2709" i="15"/>
  <c r="A2709" i="15"/>
  <c r="B2708" i="15"/>
  <c r="A2708" i="15"/>
  <c r="B2707" i="15"/>
  <c r="A2707" i="15"/>
  <c r="B2706" i="15"/>
  <c r="A2706" i="15"/>
  <c r="B2705" i="15"/>
  <c r="A2705" i="15"/>
  <c r="B2704" i="15"/>
  <c r="A2704" i="15"/>
  <c r="B2703" i="15"/>
  <c r="A2703" i="15"/>
  <c r="B2702" i="15"/>
  <c r="A2702" i="15"/>
  <c r="B2701" i="15"/>
  <c r="A2701" i="15"/>
  <c r="B2700" i="15"/>
  <c r="A2700" i="15"/>
  <c r="B2699" i="15"/>
  <c r="A2699" i="15"/>
  <c r="B2698" i="15"/>
  <c r="A2698" i="15"/>
  <c r="B2697" i="15"/>
  <c r="A2697" i="15"/>
  <c r="B2696" i="15"/>
  <c r="A2696" i="15"/>
  <c r="B2695" i="15"/>
  <c r="A2695" i="15"/>
  <c r="B2694" i="15"/>
  <c r="A2694" i="15"/>
  <c r="B2693" i="15"/>
  <c r="A2693" i="15"/>
  <c r="B2692" i="15"/>
  <c r="A2692" i="15"/>
  <c r="B2691" i="15"/>
  <c r="A2691" i="15"/>
  <c r="B2690" i="15"/>
  <c r="A2690" i="15"/>
  <c r="B2689" i="15"/>
  <c r="A2689" i="15"/>
  <c r="B2688" i="15"/>
  <c r="A2688" i="15"/>
  <c r="B2687" i="15"/>
  <c r="A2687" i="15"/>
  <c r="B2686" i="15"/>
  <c r="A2686" i="15"/>
  <c r="B2685" i="15"/>
  <c r="A2685" i="15"/>
  <c r="B2684" i="15"/>
  <c r="A2684" i="15"/>
  <c r="B2683" i="15"/>
  <c r="A2683" i="15"/>
  <c r="B2682" i="15"/>
  <c r="A2682" i="15"/>
  <c r="B2681" i="15"/>
  <c r="A2681" i="15"/>
  <c r="B2680" i="15"/>
  <c r="A2680" i="15"/>
  <c r="B2679" i="15"/>
  <c r="A2679" i="15"/>
  <c r="B2678" i="15"/>
  <c r="A2678" i="15"/>
  <c r="B2677" i="15"/>
  <c r="A2677" i="15"/>
  <c r="B2676" i="15"/>
  <c r="A2676" i="15"/>
  <c r="B2675" i="15"/>
  <c r="A2675" i="15"/>
  <c r="B2674" i="15"/>
  <c r="A2674" i="15"/>
  <c r="B2673" i="15"/>
  <c r="A2673" i="15"/>
  <c r="B2672" i="15"/>
  <c r="A2672" i="15"/>
  <c r="B2671" i="15"/>
  <c r="A2671" i="15"/>
  <c r="B2670" i="15"/>
  <c r="A2670" i="15"/>
  <c r="B2669" i="15"/>
  <c r="A2669" i="15"/>
  <c r="B2668" i="15"/>
  <c r="A2668" i="15"/>
  <c r="B2667" i="15"/>
  <c r="A2667" i="15"/>
  <c r="B2666" i="15"/>
  <c r="A2666" i="15"/>
  <c r="B2665" i="15"/>
  <c r="A2665" i="15"/>
  <c r="B2664" i="15"/>
  <c r="A2664" i="15"/>
  <c r="B2663" i="15"/>
  <c r="A2663" i="15"/>
  <c r="B2662" i="15"/>
  <c r="A2662" i="15"/>
  <c r="B2661" i="15"/>
  <c r="A2661" i="15"/>
  <c r="B2660" i="15"/>
  <c r="A2660" i="15"/>
  <c r="B2659" i="15"/>
  <c r="A2659" i="15"/>
  <c r="B2658" i="15"/>
  <c r="A2658" i="15"/>
  <c r="B2657" i="15"/>
  <c r="A2657" i="15"/>
  <c r="B2656" i="15"/>
  <c r="A2656" i="15"/>
  <c r="B2655" i="15"/>
  <c r="A2655" i="15"/>
  <c r="B2654" i="15"/>
  <c r="A2654" i="15"/>
  <c r="B2653" i="15"/>
  <c r="A2653" i="15"/>
  <c r="B2652" i="15"/>
  <c r="A2652" i="15"/>
  <c r="B2651" i="15"/>
  <c r="A2651" i="15"/>
  <c r="B2650" i="15"/>
  <c r="A2650" i="15"/>
  <c r="B2649" i="15"/>
  <c r="A2649" i="15"/>
  <c r="B2648" i="15"/>
  <c r="A2648" i="15"/>
  <c r="B2647" i="15"/>
  <c r="A2647" i="15"/>
  <c r="B2646" i="15"/>
  <c r="A2646" i="15"/>
  <c r="B2645" i="15"/>
  <c r="A2645" i="15"/>
  <c r="B2644" i="15"/>
  <c r="A2644" i="15"/>
  <c r="B2643" i="15"/>
  <c r="A2643" i="15"/>
  <c r="B2642" i="15"/>
  <c r="A2642" i="15"/>
  <c r="B2641" i="15"/>
  <c r="A2641" i="15"/>
  <c r="B2640" i="15"/>
  <c r="A2640" i="15"/>
  <c r="B2639" i="15"/>
  <c r="A2639" i="15"/>
  <c r="B2638" i="15"/>
  <c r="A2638" i="15"/>
  <c r="B2637" i="15"/>
  <c r="A2637" i="15"/>
  <c r="B2636" i="15"/>
  <c r="A2636" i="15"/>
  <c r="B2635" i="15"/>
  <c r="A2635" i="15"/>
  <c r="B2634" i="15"/>
  <c r="A2634" i="15"/>
  <c r="B2633" i="15"/>
  <c r="A2633" i="15"/>
  <c r="B2632" i="15"/>
  <c r="A2632" i="15"/>
  <c r="B2631" i="15"/>
  <c r="A2631" i="15"/>
  <c r="B2630" i="15"/>
  <c r="A2630" i="15"/>
  <c r="B2629" i="15"/>
  <c r="A2629" i="15"/>
  <c r="B2628" i="15"/>
  <c r="A2628" i="15"/>
  <c r="B2627" i="15"/>
  <c r="A2627" i="15"/>
  <c r="B2626" i="15"/>
  <c r="A2626" i="15"/>
  <c r="B2625" i="15"/>
  <c r="A2625" i="15"/>
  <c r="B2624" i="15"/>
  <c r="A2624" i="15"/>
  <c r="B2623" i="15"/>
  <c r="A2623" i="15"/>
  <c r="B2622" i="15"/>
  <c r="A2622" i="15"/>
  <c r="B2621" i="15"/>
  <c r="A2621" i="15"/>
  <c r="B2620" i="15"/>
  <c r="A2620" i="15"/>
  <c r="B2619" i="15"/>
  <c r="A2619" i="15"/>
  <c r="B2618" i="15"/>
  <c r="A2618" i="15"/>
  <c r="B2617" i="15"/>
  <c r="A2617" i="15"/>
  <c r="B2616" i="15"/>
  <c r="A2616" i="15"/>
  <c r="B2615" i="15"/>
  <c r="A2615" i="15"/>
  <c r="B2614" i="15"/>
  <c r="A2614" i="15"/>
  <c r="B2613" i="15"/>
  <c r="A2613" i="15"/>
  <c r="B2612" i="15"/>
  <c r="A2612" i="15"/>
  <c r="B2611" i="15"/>
  <c r="A2611" i="15"/>
  <c r="B2610" i="15"/>
  <c r="A2610" i="15"/>
  <c r="B2609" i="15"/>
  <c r="A2609" i="15"/>
  <c r="B2608" i="15"/>
  <c r="A2608" i="15"/>
  <c r="B2607" i="15"/>
  <c r="A2607" i="15"/>
  <c r="B2606" i="15"/>
  <c r="A2606" i="15"/>
  <c r="B2605" i="15"/>
  <c r="A2605" i="15"/>
  <c r="B2604" i="15"/>
  <c r="A2604" i="15"/>
  <c r="B2603" i="15"/>
  <c r="A2603" i="15"/>
  <c r="B2602" i="15"/>
  <c r="A2602" i="15"/>
  <c r="B2601" i="15"/>
  <c r="A2601" i="15"/>
  <c r="B2600" i="15"/>
  <c r="A2600" i="15"/>
  <c r="B2599" i="15"/>
  <c r="A2599" i="15"/>
  <c r="B2598" i="15"/>
  <c r="A2598" i="15"/>
  <c r="B2597" i="15"/>
  <c r="A2597" i="15"/>
  <c r="B2596" i="15"/>
  <c r="A2596" i="15"/>
  <c r="B2595" i="15"/>
  <c r="A2595" i="15"/>
  <c r="B2594" i="15"/>
  <c r="A2594" i="15"/>
  <c r="B2593" i="15"/>
  <c r="A2593" i="15"/>
  <c r="B2592" i="15"/>
  <c r="A2592" i="15"/>
  <c r="B2591" i="15"/>
  <c r="A2591" i="15"/>
  <c r="B2590" i="15"/>
  <c r="A2590" i="15"/>
  <c r="B2589" i="15"/>
  <c r="A2589" i="15"/>
  <c r="B2588" i="15"/>
  <c r="A2588" i="15"/>
  <c r="B2587" i="15"/>
  <c r="A2587" i="15"/>
  <c r="B2586" i="15"/>
  <c r="A2586" i="15"/>
  <c r="B2585" i="15"/>
  <c r="A2585" i="15"/>
  <c r="B2584" i="15"/>
  <c r="A2584" i="15"/>
  <c r="B2583" i="15"/>
  <c r="A2583" i="15"/>
  <c r="B2582" i="15"/>
  <c r="A2582" i="15"/>
  <c r="B2581" i="15"/>
  <c r="A2581" i="15"/>
  <c r="B2580" i="15"/>
  <c r="A2580" i="15"/>
  <c r="B2579" i="15"/>
  <c r="A2579" i="15"/>
  <c r="B2578" i="15"/>
  <c r="A2578" i="15"/>
  <c r="B2577" i="15"/>
  <c r="A2577" i="15"/>
  <c r="B2576" i="15"/>
  <c r="A2576" i="15"/>
  <c r="B2575" i="15"/>
  <c r="A2575" i="15"/>
  <c r="B2574" i="15"/>
  <c r="A2574" i="15"/>
  <c r="B2573" i="15"/>
  <c r="A2573" i="15"/>
  <c r="B2572" i="15"/>
  <c r="A2572" i="15"/>
  <c r="B2571" i="15"/>
  <c r="A2571" i="15"/>
  <c r="B2570" i="15"/>
  <c r="A2570" i="15"/>
  <c r="B2569" i="15"/>
  <c r="A2569" i="15"/>
  <c r="B2568" i="15"/>
  <c r="A2568" i="15"/>
  <c r="B2567" i="15"/>
  <c r="A2567" i="15"/>
  <c r="B2566" i="15"/>
  <c r="A2566" i="15"/>
  <c r="B2565" i="15"/>
  <c r="A2565" i="15"/>
  <c r="B2564" i="15"/>
  <c r="A2564" i="15"/>
  <c r="B2563" i="15"/>
  <c r="A2563" i="15"/>
  <c r="B2562" i="15"/>
  <c r="A2562" i="15"/>
  <c r="B2561" i="15"/>
  <c r="A2561" i="15"/>
  <c r="B2560" i="15"/>
  <c r="A2560" i="15"/>
  <c r="B2559" i="15"/>
  <c r="A2559" i="15"/>
  <c r="B2558" i="15"/>
  <c r="A2558" i="15"/>
  <c r="B2557" i="15"/>
  <c r="A2557" i="15"/>
  <c r="B2556" i="15"/>
  <c r="A2556" i="15"/>
  <c r="B2555" i="15"/>
  <c r="A2555" i="15"/>
  <c r="B2554" i="15"/>
  <c r="A2554" i="15"/>
  <c r="B2553" i="15"/>
  <c r="A2553" i="15"/>
  <c r="B2552" i="15"/>
  <c r="A2552" i="15"/>
  <c r="B2551" i="15"/>
  <c r="A2551" i="15"/>
  <c r="B2550" i="15"/>
  <c r="A2550" i="15"/>
  <c r="B2549" i="15"/>
  <c r="A2549" i="15"/>
  <c r="B2548" i="15"/>
  <c r="A2548" i="15"/>
  <c r="B2547" i="15"/>
  <c r="A2547" i="15"/>
  <c r="B2546" i="15"/>
  <c r="A2546" i="15"/>
  <c r="B2545" i="15"/>
  <c r="A2545" i="15"/>
  <c r="B2544" i="15"/>
  <c r="A2544" i="15"/>
  <c r="B2543" i="15"/>
  <c r="A2543" i="15"/>
  <c r="B2542" i="15"/>
  <c r="A2542" i="15"/>
  <c r="B2541" i="15"/>
  <c r="A2541" i="15"/>
  <c r="B2540" i="15"/>
  <c r="A2540" i="15"/>
  <c r="B2539" i="15"/>
  <c r="A2539" i="15"/>
  <c r="B2538" i="15"/>
  <c r="A2538" i="15"/>
  <c r="B2537" i="15"/>
  <c r="A2537" i="15"/>
  <c r="B2536" i="15"/>
  <c r="A2536" i="15"/>
  <c r="B2535" i="15"/>
  <c r="A2535" i="15"/>
  <c r="B2534" i="15"/>
  <c r="A2534" i="15"/>
  <c r="B2533" i="15"/>
  <c r="A2533" i="15"/>
  <c r="B2532" i="15"/>
  <c r="A2532" i="15"/>
  <c r="B2531" i="15"/>
  <c r="A2531" i="15"/>
  <c r="B2530" i="15"/>
  <c r="A2530" i="15"/>
  <c r="B2529" i="15"/>
  <c r="A2529" i="15"/>
  <c r="B2528" i="15"/>
  <c r="A2528" i="15"/>
  <c r="B2527" i="15"/>
  <c r="A2527" i="15"/>
  <c r="B2526" i="15"/>
  <c r="A2526" i="15"/>
  <c r="B2525" i="15"/>
  <c r="A2525" i="15"/>
  <c r="B2524" i="15"/>
  <c r="A2524" i="15"/>
  <c r="B2523" i="15"/>
  <c r="A2523" i="15"/>
  <c r="B2522" i="15"/>
  <c r="A2522" i="15"/>
  <c r="B2521" i="15"/>
  <c r="A2521" i="15"/>
  <c r="B2520" i="15"/>
  <c r="A2520" i="15"/>
  <c r="B2519" i="15"/>
  <c r="A2519" i="15"/>
  <c r="B2518" i="15"/>
  <c r="A2518" i="15"/>
  <c r="B2517" i="15"/>
  <c r="A2517" i="15"/>
  <c r="B2516" i="15"/>
  <c r="A2516" i="15"/>
  <c r="B2515" i="15"/>
  <c r="A2515" i="15"/>
  <c r="B2514" i="15"/>
  <c r="A2514" i="15"/>
  <c r="B2513" i="15"/>
  <c r="A2513" i="15"/>
  <c r="B2512" i="15"/>
  <c r="A2512" i="15"/>
  <c r="B2511" i="15"/>
  <c r="A2511" i="15"/>
  <c r="B2510" i="15"/>
  <c r="A2510" i="15"/>
  <c r="B2509" i="15"/>
  <c r="A2509" i="15"/>
  <c r="B2508" i="15"/>
  <c r="A2508" i="15"/>
  <c r="B2507" i="15"/>
  <c r="A2507" i="15"/>
  <c r="B2506" i="15"/>
  <c r="A2506" i="15"/>
  <c r="B2505" i="15"/>
  <c r="A2505" i="15"/>
  <c r="B2504" i="15"/>
  <c r="A2504" i="15"/>
  <c r="B2503" i="15"/>
  <c r="A2503" i="15"/>
  <c r="B2502" i="15"/>
  <c r="A2502" i="15"/>
  <c r="B2501" i="15"/>
  <c r="A2501" i="15"/>
  <c r="B2500" i="15"/>
  <c r="A2500" i="15"/>
  <c r="B2499" i="15"/>
  <c r="A2499" i="15"/>
  <c r="B2498" i="15"/>
  <c r="A2498" i="15"/>
  <c r="B2497" i="15"/>
  <c r="A2497" i="15"/>
  <c r="B2496" i="15"/>
  <c r="A2496" i="15"/>
  <c r="B2495" i="15"/>
  <c r="A2495" i="15"/>
  <c r="B2494" i="15"/>
  <c r="A2494" i="15"/>
  <c r="B2493" i="15"/>
  <c r="A2493" i="15"/>
  <c r="B2492" i="15"/>
  <c r="A2492" i="15"/>
  <c r="B2491" i="15"/>
  <c r="A2491" i="15"/>
  <c r="B2490" i="15"/>
  <c r="A2490" i="15"/>
  <c r="B2489" i="15"/>
  <c r="A2489" i="15"/>
  <c r="B2488" i="15"/>
  <c r="A2488" i="15"/>
  <c r="B2487" i="15"/>
  <c r="A2487" i="15"/>
  <c r="B2486" i="15"/>
  <c r="A2486" i="15"/>
  <c r="B2485" i="15"/>
  <c r="A2485" i="15"/>
  <c r="B2484" i="15"/>
  <c r="A2484" i="15"/>
  <c r="B2483" i="15"/>
  <c r="A2483" i="15"/>
  <c r="B2482" i="15"/>
  <c r="A2482" i="15"/>
  <c r="B2481" i="15"/>
  <c r="A2481" i="15"/>
  <c r="B2480" i="15"/>
  <c r="A2480" i="15"/>
  <c r="B2479" i="15"/>
  <c r="A2479" i="15"/>
  <c r="B2478" i="15"/>
  <c r="A2478" i="15"/>
  <c r="B2477" i="15"/>
  <c r="A2477" i="15"/>
  <c r="B2476" i="15"/>
  <c r="A2476" i="15"/>
  <c r="B2475" i="15"/>
  <c r="A2475" i="15"/>
  <c r="B2474" i="15"/>
  <c r="A2474" i="15"/>
  <c r="B2473" i="15"/>
  <c r="A2473" i="15"/>
  <c r="B2472" i="15"/>
  <c r="A2472" i="15"/>
  <c r="B2471" i="15"/>
  <c r="A2471" i="15"/>
  <c r="B2470" i="15"/>
  <c r="A2470" i="15"/>
  <c r="B2469" i="15"/>
  <c r="A2469" i="15"/>
  <c r="B2468" i="15"/>
  <c r="A2468" i="15"/>
  <c r="B2467" i="15"/>
  <c r="A2467" i="15"/>
  <c r="B2466" i="15"/>
  <c r="A2466" i="15"/>
  <c r="B2465" i="15"/>
  <c r="A2465" i="15"/>
  <c r="B2464" i="15"/>
  <c r="A2464" i="15"/>
  <c r="B2463" i="15"/>
  <c r="A2463" i="15"/>
  <c r="B2462" i="15"/>
  <c r="A2462" i="15"/>
  <c r="B2461" i="15"/>
  <c r="A2461" i="15"/>
  <c r="B2460" i="15"/>
  <c r="A2460" i="15"/>
  <c r="B2459" i="15"/>
  <c r="A2459" i="15"/>
  <c r="B2458" i="15"/>
  <c r="A2458" i="15"/>
  <c r="B2457" i="15"/>
  <c r="A2457" i="15"/>
  <c r="B2456" i="15"/>
  <c r="A2456" i="15"/>
  <c r="B2455" i="15"/>
  <c r="A2455" i="15"/>
  <c r="B2454" i="15"/>
  <c r="A2454" i="15"/>
  <c r="B2453" i="15"/>
  <c r="A2453" i="15"/>
  <c r="B2452" i="15"/>
  <c r="A2452" i="15"/>
  <c r="B2451" i="15"/>
  <c r="A2451" i="15"/>
  <c r="B2450" i="15"/>
  <c r="A2450" i="15"/>
  <c r="B2449" i="15"/>
  <c r="A2449" i="15"/>
  <c r="B2448" i="15"/>
  <c r="A2448" i="15"/>
  <c r="B2447" i="15"/>
  <c r="A2447" i="15"/>
  <c r="B2446" i="15"/>
  <c r="A2446" i="15"/>
  <c r="B2445" i="15"/>
  <c r="A2445" i="15"/>
  <c r="B2444" i="15"/>
  <c r="A2444" i="15"/>
  <c r="B2443" i="15"/>
  <c r="A2443" i="15"/>
  <c r="B2442" i="15"/>
  <c r="A2442" i="15"/>
  <c r="B2441" i="15"/>
  <c r="A2441" i="15"/>
  <c r="B2440" i="15"/>
  <c r="A2440" i="15"/>
  <c r="B2439" i="15"/>
  <c r="A2439" i="15"/>
  <c r="B2438" i="15"/>
  <c r="A2438" i="15"/>
  <c r="B2437" i="15"/>
  <c r="A2437" i="15"/>
  <c r="B2436" i="15"/>
  <c r="A2436" i="15"/>
  <c r="B2435" i="15"/>
  <c r="A2435" i="15"/>
  <c r="B2434" i="15"/>
  <c r="A2434" i="15"/>
  <c r="B2433" i="15"/>
  <c r="A2433" i="15"/>
  <c r="B2432" i="15"/>
  <c r="A2432" i="15"/>
  <c r="B2431" i="15"/>
  <c r="A2431" i="15"/>
  <c r="B2430" i="15"/>
  <c r="A2430" i="15"/>
  <c r="B2429" i="15"/>
  <c r="A2429" i="15"/>
  <c r="B2428" i="15"/>
  <c r="A2428" i="15"/>
  <c r="B2427" i="15"/>
  <c r="A2427" i="15"/>
  <c r="B2426" i="15"/>
  <c r="A2426" i="15"/>
  <c r="B2425" i="15"/>
  <c r="A2425" i="15"/>
  <c r="B2424" i="15"/>
  <c r="A2424" i="15"/>
  <c r="B2423" i="15"/>
  <c r="A2423" i="15"/>
  <c r="B2422" i="15"/>
  <c r="A2422" i="15"/>
  <c r="B2421" i="15"/>
  <c r="A2421" i="15"/>
  <c r="B2420" i="15"/>
  <c r="A2420" i="15"/>
  <c r="B2419" i="15"/>
  <c r="A2419" i="15"/>
  <c r="B2418" i="15"/>
  <c r="A2418" i="15"/>
  <c r="B2417" i="15"/>
  <c r="A2417" i="15"/>
  <c r="B2416" i="15"/>
  <c r="A2416" i="15"/>
  <c r="B2415" i="15"/>
  <c r="A2415" i="15"/>
  <c r="B2414" i="15"/>
  <c r="A2414" i="15"/>
  <c r="B2413" i="15"/>
  <c r="A2413" i="15"/>
  <c r="B2412" i="15"/>
  <c r="A2412" i="15"/>
  <c r="B2411" i="15"/>
  <c r="A2411" i="15"/>
  <c r="B2410" i="15"/>
  <c r="A2410" i="15"/>
  <c r="B2409" i="15"/>
  <c r="A2409" i="15"/>
  <c r="B2408" i="15"/>
  <c r="A2408" i="15"/>
  <c r="B2407" i="15"/>
  <c r="A2407" i="15"/>
  <c r="B2406" i="15"/>
  <c r="A2406" i="15"/>
  <c r="B2405" i="15"/>
  <c r="A2405" i="15"/>
  <c r="B2404" i="15"/>
  <c r="A2404" i="15"/>
  <c r="B2403" i="15"/>
  <c r="A2403" i="15"/>
  <c r="B2402" i="15"/>
  <c r="A2402" i="15"/>
  <c r="B2401" i="15"/>
  <c r="A2401" i="15"/>
  <c r="B2400" i="15"/>
  <c r="A2400" i="15"/>
  <c r="B2399" i="15"/>
  <c r="A2399" i="15"/>
  <c r="B2398" i="15"/>
  <c r="A2398" i="15"/>
  <c r="B2397" i="15"/>
  <c r="A2397" i="15"/>
  <c r="B2396" i="15"/>
  <c r="A2396" i="15"/>
  <c r="B2395" i="15"/>
  <c r="A2395" i="15"/>
  <c r="B2394" i="15"/>
  <c r="A2394" i="15"/>
  <c r="B2393" i="15"/>
  <c r="A2393" i="15"/>
  <c r="B2392" i="15"/>
  <c r="A2392" i="15"/>
  <c r="B2391" i="15"/>
  <c r="A2391" i="15"/>
  <c r="B2390" i="15"/>
  <c r="A2390" i="15"/>
  <c r="B2389" i="15"/>
  <c r="A2389" i="15"/>
  <c r="B2388" i="15"/>
  <c r="A2388" i="15"/>
  <c r="B2387" i="15"/>
  <c r="A2387" i="15"/>
  <c r="B2386" i="15"/>
  <c r="A2386" i="15"/>
  <c r="B2385" i="15"/>
  <c r="A2385" i="15"/>
  <c r="B2384" i="15"/>
  <c r="A2384" i="15"/>
  <c r="B2383" i="15"/>
  <c r="A2383" i="15"/>
  <c r="B2382" i="15"/>
  <c r="A2382" i="15"/>
  <c r="B2381" i="15"/>
  <c r="A2381" i="15"/>
  <c r="B2380" i="15"/>
  <c r="A2380" i="15"/>
  <c r="B2379" i="15"/>
  <c r="A2379" i="15"/>
  <c r="B2378" i="15"/>
  <c r="A2378" i="15"/>
  <c r="B2377" i="15"/>
  <c r="A2377" i="15"/>
  <c r="B2376" i="15"/>
  <c r="A2376" i="15"/>
  <c r="B2375" i="15"/>
  <c r="A2375" i="15"/>
  <c r="B2374" i="15"/>
  <c r="A2374" i="15"/>
  <c r="B2373" i="15"/>
  <c r="A2373" i="15"/>
  <c r="B2372" i="15"/>
  <c r="A2372" i="15"/>
  <c r="B2371" i="15"/>
  <c r="A2371" i="15"/>
  <c r="B2370" i="15"/>
  <c r="A2370" i="15"/>
  <c r="B2369" i="15"/>
  <c r="A2369" i="15"/>
  <c r="B2368" i="15"/>
  <c r="A2368" i="15"/>
  <c r="B2367" i="15"/>
  <c r="A2367" i="15"/>
  <c r="B2366" i="15"/>
  <c r="A2366" i="15"/>
  <c r="B2365" i="15"/>
  <c r="A2365" i="15"/>
  <c r="B2364" i="15"/>
  <c r="A2364" i="15"/>
  <c r="B2363" i="15"/>
  <c r="A2363" i="15"/>
  <c r="B2362" i="15"/>
  <c r="A2362" i="15"/>
  <c r="B2361" i="15"/>
  <c r="A2361" i="15"/>
  <c r="B2360" i="15"/>
  <c r="A2360" i="15"/>
  <c r="B2359" i="15"/>
  <c r="A2359" i="15"/>
  <c r="B2358" i="15"/>
  <c r="A2358" i="15"/>
  <c r="B2357" i="15"/>
  <c r="A2357" i="15"/>
  <c r="B2356" i="15"/>
  <c r="A2356" i="15"/>
  <c r="B2355" i="15"/>
  <c r="A2355" i="15"/>
  <c r="B2354" i="15"/>
  <c r="A2354" i="15"/>
  <c r="B2353" i="15"/>
  <c r="A2353" i="15"/>
  <c r="B2352" i="15"/>
  <c r="A2352" i="15"/>
  <c r="B2351" i="15"/>
  <c r="A2351" i="15"/>
  <c r="B2350" i="15"/>
  <c r="A2350" i="15"/>
  <c r="B2349" i="15"/>
  <c r="A2349" i="15"/>
  <c r="B2348" i="15"/>
  <c r="A2348" i="15"/>
  <c r="B2347" i="15"/>
  <c r="A2347" i="15"/>
  <c r="B2346" i="15"/>
  <c r="A2346" i="15"/>
  <c r="B2345" i="15"/>
  <c r="A2345" i="15"/>
  <c r="B2344" i="15"/>
  <c r="A2344" i="15"/>
  <c r="B2343" i="15"/>
  <c r="A2343" i="15"/>
  <c r="B2342" i="15"/>
  <c r="A2342" i="15"/>
  <c r="B2341" i="15"/>
  <c r="A2341" i="15"/>
  <c r="B2340" i="15"/>
  <c r="A2340" i="15"/>
  <c r="B2339" i="15"/>
  <c r="A2339" i="15"/>
  <c r="B2338" i="15"/>
  <c r="A2338" i="15"/>
  <c r="B2337" i="15"/>
  <c r="A2337" i="15"/>
  <c r="B2336" i="15"/>
  <c r="A2336" i="15"/>
  <c r="B2335" i="15"/>
  <c r="A2335" i="15"/>
  <c r="B2334" i="15"/>
  <c r="A2334" i="15"/>
  <c r="B2333" i="15"/>
  <c r="A2333" i="15"/>
  <c r="B2332" i="15"/>
  <c r="A2332" i="15"/>
  <c r="B2331" i="15"/>
  <c r="A2331" i="15"/>
  <c r="B2330" i="15"/>
  <c r="A2330" i="15"/>
  <c r="B2329" i="15"/>
  <c r="A2329" i="15"/>
  <c r="B2328" i="15"/>
  <c r="A2328" i="15"/>
  <c r="B2327" i="15"/>
  <c r="A2327" i="15"/>
  <c r="B2326" i="15"/>
  <c r="A2326" i="15"/>
  <c r="B2325" i="15"/>
  <c r="A2325" i="15"/>
  <c r="B2324" i="15"/>
  <c r="A2324" i="15"/>
  <c r="B2323" i="15"/>
  <c r="A2323" i="15"/>
  <c r="B2322" i="15"/>
  <c r="A2322" i="15"/>
  <c r="B2321" i="15"/>
  <c r="A2321" i="15"/>
  <c r="B2320" i="15"/>
  <c r="A2320" i="15"/>
  <c r="B2319" i="15"/>
  <c r="A2319" i="15"/>
  <c r="B2318" i="15"/>
  <c r="A2318" i="15"/>
  <c r="B2317" i="15"/>
  <c r="A2317" i="15"/>
  <c r="B2316" i="15"/>
  <c r="A2316" i="15"/>
  <c r="B2315" i="15"/>
  <c r="A2315" i="15"/>
  <c r="B2314" i="15"/>
  <c r="A2314" i="15"/>
  <c r="B2313" i="15"/>
  <c r="A2313" i="15"/>
  <c r="B2312" i="15"/>
  <c r="A2312" i="15"/>
  <c r="B2311" i="15"/>
  <c r="A2311" i="15"/>
  <c r="B2310" i="15"/>
  <c r="A2310" i="15"/>
  <c r="B2309" i="15"/>
  <c r="A2309" i="15"/>
  <c r="B2308" i="15"/>
  <c r="A2308" i="15"/>
  <c r="B2307" i="15"/>
  <c r="A2307" i="15"/>
  <c r="B2306" i="15"/>
  <c r="A2306" i="15"/>
  <c r="B2305" i="15"/>
  <c r="A2305" i="15"/>
  <c r="B2304" i="15"/>
  <c r="A2304" i="15"/>
  <c r="B2303" i="15"/>
  <c r="A2303" i="15"/>
  <c r="B2302" i="15"/>
  <c r="A2302" i="15"/>
  <c r="B2301" i="15"/>
  <c r="A2301" i="15"/>
  <c r="B2300" i="15"/>
  <c r="A2300" i="15"/>
  <c r="B2299" i="15"/>
  <c r="A2299" i="15"/>
  <c r="B2298" i="15"/>
  <c r="A2298" i="15"/>
  <c r="B2297" i="15"/>
  <c r="A2297" i="15"/>
  <c r="B2296" i="15"/>
  <c r="A2296" i="15"/>
  <c r="B2295" i="15"/>
  <c r="A2295" i="15"/>
  <c r="B2294" i="15"/>
  <c r="A2294" i="15"/>
  <c r="B2293" i="15"/>
  <c r="A2293" i="15"/>
  <c r="B2292" i="15"/>
  <c r="A2292" i="15"/>
  <c r="B2291" i="15"/>
  <c r="A2291" i="15"/>
  <c r="B2290" i="15"/>
  <c r="A2290" i="15"/>
  <c r="B2289" i="15"/>
  <c r="A2289" i="15"/>
  <c r="B2288" i="15"/>
  <c r="A2288" i="15"/>
  <c r="B2287" i="15"/>
  <c r="A2287" i="15"/>
  <c r="B2286" i="15"/>
  <c r="A2286" i="15"/>
  <c r="B2285" i="15"/>
  <c r="A2285" i="15"/>
  <c r="B2284" i="15"/>
  <c r="A2284" i="15"/>
  <c r="B2283" i="15"/>
  <c r="A2283" i="15"/>
  <c r="B2282" i="15"/>
  <c r="A2282" i="15"/>
  <c r="B2281" i="15"/>
  <c r="A2281" i="15"/>
  <c r="B2280" i="15"/>
  <c r="A2280" i="15"/>
  <c r="B2279" i="15"/>
  <c r="A2279" i="15"/>
  <c r="B2278" i="15"/>
  <c r="A2278" i="15"/>
  <c r="B2277" i="15"/>
  <c r="A2277" i="15"/>
  <c r="B2276" i="15"/>
  <c r="A2276" i="15"/>
  <c r="B2275" i="15"/>
  <c r="A2275" i="15"/>
  <c r="B2274" i="15"/>
  <c r="A2274" i="15"/>
  <c r="B2273" i="15"/>
  <c r="A2273" i="15"/>
  <c r="B2272" i="15"/>
  <c r="A2272" i="15"/>
  <c r="B2271" i="15"/>
  <c r="A2271" i="15"/>
  <c r="B2270" i="15"/>
  <c r="A2270" i="15"/>
  <c r="B2269" i="15"/>
  <c r="A2269" i="15"/>
  <c r="B2268" i="15"/>
  <c r="A2268" i="15"/>
  <c r="B2267" i="15"/>
  <c r="A2267" i="15"/>
  <c r="B2266" i="15"/>
  <c r="A2266" i="15"/>
  <c r="B2265" i="15"/>
  <c r="A2265" i="15"/>
  <c r="B2264" i="15"/>
  <c r="A2264" i="15"/>
  <c r="B2263" i="15"/>
  <c r="A2263" i="15"/>
  <c r="B2262" i="15"/>
  <c r="A2262" i="15"/>
  <c r="B2261" i="15"/>
  <c r="A2261" i="15"/>
  <c r="B2260" i="15"/>
  <c r="A2260" i="15"/>
  <c r="B2259" i="15"/>
  <c r="A2259" i="15"/>
  <c r="B2258" i="15"/>
  <c r="A2258" i="15"/>
  <c r="B2257" i="15"/>
  <c r="A2257" i="15"/>
  <c r="B2256" i="15"/>
  <c r="A2256" i="15"/>
  <c r="B2255" i="15"/>
  <c r="A2255" i="15"/>
  <c r="B2254" i="15"/>
  <c r="A2254" i="15"/>
  <c r="B2253" i="15"/>
  <c r="A2253" i="15"/>
  <c r="B2252" i="15"/>
  <c r="A2252" i="15"/>
  <c r="B2251" i="15"/>
  <c r="A2251" i="15"/>
  <c r="B2250" i="15"/>
  <c r="A2250" i="15"/>
  <c r="B2249" i="15"/>
  <c r="A2249" i="15"/>
  <c r="B2248" i="15"/>
  <c r="A2248" i="15"/>
  <c r="B2247" i="15"/>
  <c r="A2247" i="15"/>
  <c r="B2246" i="15"/>
  <c r="A2246" i="15"/>
  <c r="B2245" i="15"/>
  <c r="A2245" i="15"/>
  <c r="B2244" i="15"/>
  <c r="A2244" i="15"/>
  <c r="B2243" i="15"/>
  <c r="A2243" i="15"/>
  <c r="B2242" i="15"/>
  <c r="A2242" i="15"/>
  <c r="B2241" i="15"/>
  <c r="A2241" i="15"/>
  <c r="B2240" i="15"/>
  <c r="A2240" i="15"/>
  <c r="B2239" i="15"/>
  <c r="A2239" i="15"/>
  <c r="B2238" i="15"/>
  <c r="A2238" i="15"/>
  <c r="B2237" i="15"/>
  <c r="A2237" i="15"/>
  <c r="B2236" i="15"/>
  <c r="A2236" i="15"/>
  <c r="B2235" i="15"/>
  <c r="A2235" i="15"/>
  <c r="B2234" i="15"/>
  <c r="A2234" i="15"/>
  <c r="B2233" i="15"/>
  <c r="A2233" i="15"/>
  <c r="B2232" i="15"/>
  <c r="A2232" i="15"/>
  <c r="B2231" i="15"/>
  <c r="A2231" i="15"/>
  <c r="B2230" i="15"/>
  <c r="A2230" i="15"/>
  <c r="B2229" i="15"/>
  <c r="A2229" i="15"/>
  <c r="B2228" i="15"/>
  <c r="A2228" i="15"/>
  <c r="B2227" i="15"/>
  <c r="A2227" i="15"/>
  <c r="B2226" i="15"/>
  <c r="A2226" i="15"/>
  <c r="B2225" i="15"/>
  <c r="A2225" i="15"/>
  <c r="B2224" i="15"/>
  <c r="A2224" i="15"/>
  <c r="B2223" i="15"/>
  <c r="A2223" i="15"/>
  <c r="B2222" i="15"/>
  <c r="A2222" i="15"/>
  <c r="B2221" i="15"/>
  <c r="A2221" i="15"/>
  <c r="B2220" i="15"/>
  <c r="A2220" i="15"/>
  <c r="B2219" i="15"/>
  <c r="A2219" i="15"/>
  <c r="B2218" i="15"/>
  <c r="A2218" i="15"/>
  <c r="B2217" i="15"/>
  <c r="A2217" i="15"/>
  <c r="B2216" i="15"/>
  <c r="A2216" i="15"/>
  <c r="B2215" i="15"/>
  <c r="A2215" i="15"/>
  <c r="B2214" i="15"/>
  <c r="A2214" i="15"/>
  <c r="B2213" i="15"/>
  <c r="A2213" i="15"/>
  <c r="B2212" i="15"/>
  <c r="A2212" i="15"/>
  <c r="B2211" i="15"/>
  <c r="A2211" i="15"/>
  <c r="B2210" i="15"/>
  <c r="A2210" i="15"/>
  <c r="B2209" i="15"/>
  <c r="A2209" i="15"/>
  <c r="B2208" i="15"/>
  <c r="A2208" i="15"/>
  <c r="B2207" i="15"/>
  <c r="A2207" i="15"/>
  <c r="B2206" i="15"/>
  <c r="A2206" i="15"/>
  <c r="B2205" i="15"/>
  <c r="A2205" i="15"/>
  <c r="B2204" i="15"/>
  <c r="A2204" i="15"/>
  <c r="B2203" i="15"/>
  <c r="A2203" i="15"/>
  <c r="B2202" i="15"/>
  <c r="A2202" i="15"/>
  <c r="B2201" i="15"/>
  <c r="A2201" i="15"/>
  <c r="B2200" i="15"/>
  <c r="A2200" i="15"/>
  <c r="B2199" i="15"/>
  <c r="A2199" i="15"/>
  <c r="B2198" i="15"/>
  <c r="A2198" i="15"/>
  <c r="B2197" i="15"/>
  <c r="A2197" i="15"/>
  <c r="B2196" i="15"/>
  <c r="A2196" i="15"/>
  <c r="B2195" i="15"/>
  <c r="A2195" i="15"/>
  <c r="B2194" i="15"/>
  <c r="A2194" i="15"/>
  <c r="B2193" i="15"/>
  <c r="A2193" i="15"/>
  <c r="B2192" i="15"/>
  <c r="A2192" i="15"/>
  <c r="B2191" i="15"/>
  <c r="A2191" i="15"/>
  <c r="B2190" i="15"/>
  <c r="A2190" i="15"/>
  <c r="B2189" i="15"/>
  <c r="A2189" i="15"/>
  <c r="B2188" i="15"/>
  <c r="A2188" i="15"/>
  <c r="B2187" i="15"/>
  <c r="A2187" i="15"/>
  <c r="B2186" i="15"/>
  <c r="A2186" i="15"/>
  <c r="B2185" i="15"/>
  <c r="A2185" i="15"/>
  <c r="B2184" i="15"/>
  <c r="A2184" i="15"/>
  <c r="B2183" i="15"/>
  <c r="A2183" i="15"/>
  <c r="B2182" i="15"/>
  <c r="A2182" i="15"/>
  <c r="B2181" i="15"/>
  <c r="A2181" i="15"/>
  <c r="B2180" i="15"/>
  <c r="A2180" i="15"/>
  <c r="B2179" i="15"/>
  <c r="A2179" i="15"/>
  <c r="B2178" i="15"/>
  <c r="A2178" i="15"/>
  <c r="B2177" i="15"/>
  <c r="A2177" i="15"/>
  <c r="B2176" i="15"/>
  <c r="A2176" i="15"/>
  <c r="B2175" i="15"/>
  <c r="A2175" i="15"/>
  <c r="B2174" i="15"/>
  <c r="A2174" i="15"/>
  <c r="B2173" i="15"/>
  <c r="A2173" i="15"/>
  <c r="B2172" i="15"/>
  <c r="A2172" i="15"/>
  <c r="B2171" i="15"/>
  <c r="A2171" i="15"/>
  <c r="B2170" i="15"/>
  <c r="A2170" i="15"/>
  <c r="B2169" i="15"/>
  <c r="A2169" i="15"/>
  <c r="B2168" i="15"/>
  <c r="A2168" i="15"/>
  <c r="B2167" i="15"/>
  <c r="A2167" i="15"/>
  <c r="B2166" i="15"/>
  <c r="A2166" i="15"/>
  <c r="B2165" i="15"/>
  <c r="A2165" i="15"/>
  <c r="B2164" i="15"/>
  <c r="A2164" i="15"/>
  <c r="B2163" i="15"/>
  <c r="A2163" i="15"/>
  <c r="B2162" i="15"/>
  <c r="A2162" i="15"/>
  <c r="B2161" i="15"/>
  <c r="A2161" i="15"/>
  <c r="B2160" i="15"/>
  <c r="A2160" i="15"/>
  <c r="B2159" i="15"/>
  <c r="A2159" i="15"/>
  <c r="B2158" i="15"/>
  <c r="A2158" i="15"/>
  <c r="B2157" i="15"/>
  <c r="A2157" i="15"/>
  <c r="B2156" i="15"/>
  <c r="A2156" i="15"/>
  <c r="B2155" i="15"/>
  <c r="A2155" i="15"/>
  <c r="B2154" i="15"/>
  <c r="A2154" i="15"/>
  <c r="B2153" i="15"/>
  <c r="A2153" i="15"/>
  <c r="B2152" i="15"/>
  <c r="A2152" i="15"/>
  <c r="B2151" i="15"/>
  <c r="A2151" i="15"/>
  <c r="B2150" i="15"/>
  <c r="A2150" i="15"/>
  <c r="B2149" i="15"/>
  <c r="A2149" i="15"/>
  <c r="B2148" i="15"/>
  <c r="A2148" i="15"/>
  <c r="B2147" i="15"/>
  <c r="A2147" i="15"/>
  <c r="B2146" i="15"/>
  <c r="A2146" i="15"/>
  <c r="B2145" i="15"/>
  <c r="A2145" i="15"/>
  <c r="B2144" i="15"/>
  <c r="A2144" i="15"/>
  <c r="B2143" i="15"/>
  <c r="A2143" i="15"/>
  <c r="B2142" i="15"/>
  <c r="A2142" i="15"/>
  <c r="B2141" i="15"/>
  <c r="A2141" i="15"/>
  <c r="B2140" i="15"/>
  <c r="A2140" i="15"/>
  <c r="B2139" i="15"/>
  <c r="A2139" i="15"/>
  <c r="B2138" i="15"/>
  <c r="A2138" i="15"/>
  <c r="B2137" i="15"/>
  <c r="A2137" i="15"/>
  <c r="B2136" i="15"/>
  <c r="A2136" i="15"/>
  <c r="B2135" i="15"/>
  <c r="A2135" i="15"/>
  <c r="B2134" i="15"/>
  <c r="A2134" i="15"/>
  <c r="B2133" i="15"/>
  <c r="A2133" i="15"/>
  <c r="B2132" i="15"/>
  <c r="A2132" i="15"/>
  <c r="B2131" i="15"/>
  <c r="A2131" i="15"/>
  <c r="B2130" i="15"/>
  <c r="A2130" i="15"/>
  <c r="B2129" i="15"/>
  <c r="A2129" i="15"/>
  <c r="B2128" i="15"/>
  <c r="A2128" i="15"/>
  <c r="B2127" i="15"/>
  <c r="A2127" i="15"/>
  <c r="B2126" i="15"/>
  <c r="A2126" i="15"/>
  <c r="B2125" i="15"/>
  <c r="A2125" i="15"/>
  <c r="B2124" i="15"/>
  <c r="A2124" i="15"/>
  <c r="B2123" i="15"/>
  <c r="A2123" i="15"/>
  <c r="B2122" i="15"/>
  <c r="A2122" i="15"/>
  <c r="B2121" i="15"/>
  <c r="A2121" i="15"/>
  <c r="B2120" i="15"/>
  <c r="A2120" i="15"/>
  <c r="B2119" i="15"/>
  <c r="A2119" i="15"/>
  <c r="B2118" i="15"/>
  <c r="A2118" i="15"/>
  <c r="B2117" i="15"/>
  <c r="A2117" i="15"/>
  <c r="B2116" i="15"/>
  <c r="A2116" i="15"/>
  <c r="B2115" i="15"/>
  <c r="A2115" i="15"/>
  <c r="B2114" i="15"/>
  <c r="A2114" i="15"/>
  <c r="B2113" i="15"/>
  <c r="A2113" i="15"/>
  <c r="B2112" i="15"/>
  <c r="A2112" i="15"/>
  <c r="B2111" i="15"/>
  <c r="A2111" i="15"/>
  <c r="B2110" i="15"/>
  <c r="A2110" i="15"/>
  <c r="B2109" i="15"/>
  <c r="A2109" i="15"/>
  <c r="B2108" i="15"/>
  <c r="A2108" i="15"/>
  <c r="B2107" i="15"/>
  <c r="A2107" i="15"/>
  <c r="B2106" i="15"/>
  <c r="A2106" i="15"/>
  <c r="B2105" i="15"/>
  <c r="A2105" i="15"/>
  <c r="B2104" i="15"/>
  <c r="A2104" i="15"/>
  <c r="B2103" i="15"/>
  <c r="A2103" i="15"/>
  <c r="B2102" i="15"/>
  <c r="A2102" i="15"/>
  <c r="B2101" i="15"/>
  <c r="A2101" i="15"/>
  <c r="B2100" i="15"/>
  <c r="A2100" i="15"/>
  <c r="B2099" i="15"/>
  <c r="A2099" i="15"/>
  <c r="B2098" i="15"/>
  <c r="A2098" i="15"/>
  <c r="B2097" i="15"/>
  <c r="A2097" i="15"/>
  <c r="B2096" i="15"/>
  <c r="A2096" i="15"/>
  <c r="B2095" i="15"/>
  <c r="A2095" i="15"/>
  <c r="B2094" i="15"/>
  <c r="A2094" i="15"/>
  <c r="B2093" i="15"/>
  <c r="A2093" i="15"/>
  <c r="B2092" i="15"/>
  <c r="A2092" i="15"/>
  <c r="B2091" i="15"/>
  <c r="A2091" i="15"/>
  <c r="B2090" i="15"/>
  <c r="A2090" i="15"/>
  <c r="B2089" i="15"/>
  <c r="A2089" i="15"/>
  <c r="B2088" i="15"/>
  <c r="A2088" i="15"/>
  <c r="B2087" i="15"/>
  <c r="A2087" i="15"/>
  <c r="B2086" i="15"/>
  <c r="A2086" i="15"/>
  <c r="B2085" i="15"/>
  <c r="A2085" i="15"/>
  <c r="B2084" i="15"/>
  <c r="A2084" i="15"/>
  <c r="B2083" i="15"/>
  <c r="A2083" i="15"/>
  <c r="B2082" i="15"/>
  <c r="A2082" i="15"/>
  <c r="B2081" i="15"/>
  <c r="A2081" i="15"/>
  <c r="B2080" i="15"/>
  <c r="A2080" i="15"/>
  <c r="B2079" i="15"/>
  <c r="A2079" i="15"/>
  <c r="B2078" i="15"/>
  <c r="A2078" i="15"/>
  <c r="B2077" i="15"/>
  <c r="A2077" i="15"/>
  <c r="B2076" i="15"/>
  <c r="A2076" i="15"/>
  <c r="B2075" i="15"/>
  <c r="A2075" i="15"/>
  <c r="B2074" i="15"/>
  <c r="A2074" i="15"/>
  <c r="B2073" i="15"/>
  <c r="A2073" i="15"/>
  <c r="B2072" i="15"/>
  <c r="A2072" i="15"/>
  <c r="B2071" i="15"/>
  <c r="A2071" i="15"/>
  <c r="B2070" i="15"/>
  <c r="A2070" i="15"/>
  <c r="B2069" i="15"/>
  <c r="A2069" i="15"/>
  <c r="B2068" i="15"/>
  <c r="A2068" i="15"/>
  <c r="B2067" i="15"/>
  <c r="A2067" i="15"/>
  <c r="B2066" i="15"/>
  <c r="A2066" i="15"/>
  <c r="B2065" i="15"/>
  <c r="A2065" i="15"/>
  <c r="B2064" i="15"/>
  <c r="A2064" i="15"/>
  <c r="B2063" i="15"/>
  <c r="A2063" i="15"/>
  <c r="B2062" i="15"/>
  <c r="A2062" i="15"/>
  <c r="B2061" i="15"/>
  <c r="A2061" i="15"/>
  <c r="B2060" i="15"/>
  <c r="A2060" i="15"/>
  <c r="B2059" i="15"/>
  <c r="A2059" i="15"/>
  <c r="B2058" i="15"/>
  <c r="A2058" i="15"/>
  <c r="B2057" i="15"/>
  <c r="A2057" i="15"/>
  <c r="B2056" i="15"/>
  <c r="A2056" i="15"/>
  <c r="B2055" i="15"/>
  <c r="A2055" i="15"/>
  <c r="B2054" i="15"/>
  <c r="A2054" i="15"/>
  <c r="B2053" i="15"/>
  <c r="A2053" i="15"/>
  <c r="B2052" i="15"/>
  <c r="A2052" i="15"/>
  <c r="B2051" i="15"/>
  <c r="A2051" i="15"/>
  <c r="B2050" i="15"/>
  <c r="A2050" i="15"/>
  <c r="B2049" i="15"/>
  <c r="A2049" i="15"/>
  <c r="B2048" i="15"/>
  <c r="A2048" i="15"/>
  <c r="B2047" i="15"/>
  <c r="A2047" i="15"/>
  <c r="B2046" i="15"/>
  <c r="A2046" i="15"/>
  <c r="B2045" i="15"/>
  <c r="A2045" i="15"/>
  <c r="B2044" i="15"/>
  <c r="A2044" i="15"/>
  <c r="B2043" i="15"/>
  <c r="A2043" i="15"/>
  <c r="B2042" i="15"/>
  <c r="A2042" i="15"/>
  <c r="B2041" i="15"/>
  <c r="A2041" i="15"/>
  <c r="B2040" i="15"/>
  <c r="A2040" i="15"/>
  <c r="B2039" i="15"/>
  <c r="A2039" i="15"/>
  <c r="B2038" i="15"/>
  <c r="A2038" i="15"/>
  <c r="B2037" i="15"/>
  <c r="A2037" i="15"/>
  <c r="B2036" i="15"/>
  <c r="A2036" i="15"/>
  <c r="B2035" i="15"/>
  <c r="A2035" i="15"/>
  <c r="B2034" i="15"/>
  <c r="A2034" i="15"/>
  <c r="B2033" i="15"/>
  <c r="A2033" i="15"/>
  <c r="B2032" i="15"/>
  <c r="A2032" i="15"/>
  <c r="B2031" i="15"/>
  <c r="A2031" i="15"/>
  <c r="B2030" i="15"/>
  <c r="A2030" i="15"/>
  <c r="B2029" i="15"/>
  <c r="A2029" i="15"/>
  <c r="B2028" i="15"/>
  <c r="A2028" i="15"/>
  <c r="B2027" i="15"/>
  <c r="A2027" i="15"/>
  <c r="B2026" i="15"/>
  <c r="A2026" i="15"/>
  <c r="B2025" i="15"/>
  <c r="A2025" i="15"/>
  <c r="B2024" i="15"/>
  <c r="A2024" i="15"/>
  <c r="B2023" i="15"/>
  <c r="A2023" i="15"/>
  <c r="B2022" i="15"/>
  <c r="A2022" i="15"/>
  <c r="B2021" i="15"/>
  <c r="A2021" i="15"/>
  <c r="B2020" i="15"/>
  <c r="A2020" i="15"/>
  <c r="B2019" i="15"/>
  <c r="A2019" i="15"/>
  <c r="B2018" i="15"/>
  <c r="A2018" i="15"/>
  <c r="B2017" i="15"/>
  <c r="A2017" i="15"/>
  <c r="B2016" i="15"/>
  <c r="A2016" i="15"/>
  <c r="B2015" i="15"/>
  <c r="A2015" i="15"/>
  <c r="B2014" i="15"/>
  <c r="A2014" i="15"/>
  <c r="B2013" i="15"/>
  <c r="A2013" i="15"/>
  <c r="B2012" i="15"/>
  <c r="A2012" i="15"/>
  <c r="B2011" i="15"/>
  <c r="A2011" i="15"/>
  <c r="B2010" i="15"/>
  <c r="A2010" i="15"/>
  <c r="B2009" i="15"/>
  <c r="A2009" i="15"/>
  <c r="B2008" i="15"/>
  <c r="A2008" i="15"/>
  <c r="B2007" i="15"/>
  <c r="A2007" i="15"/>
  <c r="B2006" i="15"/>
  <c r="A2006" i="15"/>
  <c r="B2005" i="15"/>
  <c r="A2005" i="15"/>
  <c r="B2004" i="15"/>
  <c r="A2004" i="15"/>
  <c r="B2003" i="15"/>
  <c r="A2003" i="15"/>
  <c r="B2002" i="15"/>
  <c r="A2002" i="15"/>
  <c r="B2001" i="15"/>
  <c r="A2001" i="15"/>
  <c r="B2000" i="15"/>
  <c r="A2000" i="15"/>
  <c r="B1999" i="15"/>
  <c r="A1999" i="15"/>
  <c r="B1998" i="15"/>
  <c r="A1998" i="15"/>
  <c r="B1997" i="15"/>
  <c r="A1997" i="15"/>
  <c r="B1996" i="15"/>
  <c r="A1996" i="15"/>
  <c r="B1995" i="15"/>
  <c r="A1995" i="15"/>
  <c r="B1994" i="15"/>
  <c r="A1994" i="15"/>
  <c r="B1993" i="15"/>
  <c r="A1993" i="15"/>
  <c r="B1992" i="15"/>
  <c r="A1992" i="15"/>
  <c r="B1991" i="15"/>
  <c r="A1991" i="15"/>
  <c r="B1990" i="15"/>
  <c r="A1990" i="15"/>
  <c r="B1989" i="15"/>
  <c r="A1989" i="15"/>
  <c r="B1988" i="15"/>
  <c r="A1988" i="15"/>
  <c r="B1987" i="15"/>
  <c r="A1987" i="15"/>
  <c r="B1986" i="15"/>
  <c r="A1986" i="15"/>
  <c r="B1985" i="15"/>
  <c r="A1985" i="15"/>
  <c r="B1984" i="15"/>
  <c r="A1984" i="15"/>
  <c r="B1983" i="15"/>
  <c r="A1983" i="15"/>
  <c r="B1982" i="15"/>
  <c r="A1982" i="15"/>
  <c r="B1981" i="15"/>
  <c r="A1981" i="15"/>
  <c r="B1980" i="15"/>
  <c r="A1980" i="15"/>
  <c r="B1979" i="15"/>
  <c r="A1979" i="15"/>
  <c r="B1978" i="15"/>
  <c r="A1978" i="15"/>
  <c r="B1977" i="15"/>
  <c r="A1977" i="15"/>
  <c r="B1976" i="15"/>
  <c r="A1976" i="15"/>
  <c r="B1975" i="15"/>
  <c r="A1975" i="15"/>
  <c r="B1974" i="15"/>
  <c r="A1974" i="15"/>
  <c r="B1973" i="15"/>
  <c r="A1973" i="15"/>
  <c r="B1972" i="15"/>
  <c r="A1972" i="15"/>
  <c r="B1971" i="15"/>
  <c r="A1971" i="15"/>
  <c r="B1970" i="15"/>
  <c r="A1970" i="15"/>
  <c r="B1969" i="15"/>
  <c r="A1969" i="15"/>
  <c r="B1968" i="15"/>
  <c r="A1968" i="15"/>
  <c r="B1967" i="15"/>
  <c r="A1967" i="15"/>
  <c r="B1966" i="15"/>
  <c r="A1966" i="15"/>
  <c r="B1965" i="15"/>
  <c r="A1965" i="15"/>
  <c r="B1964" i="15"/>
  <c r="A1964" i="15"/>
  <c r="B1963" i="15"/>
  <c r="A1963" i="15"/>
  <c r="B1962" i="15"/>
  <c r="A1962" i="15"/>
  <c r="B1961" i="15"/>
  <c r="A1961" i="15"/>
  <c r="B1960" i="15"/>
  <c r="A1960" i="15"/>
  <c r="B1959" i="15"/>
  <c r="A1959" i="15"/>
  <c r="B1958" i="15"/>
  <c r="A1958" i="15"/>
  <c r="B1957" i="15"/>
  <c r="A1957" i="15"/>
  <c r="B1956" i="15"/>
  <c r="A1956" i="15"/>
  <c r="B1955" i="15"/>
  <c r="A1955" i="15"/>
  <c r="B1954" i="15"/>
  <c r="A1954" i="15"/>
  <c r="B1953" i="15"/>
  <c r="A1953" i="15"/>
  <c r="B1952" i="15"/>
  <c r="A1952" i="15"/>
  <c r="B1951" i="15"/>
  <c r="A1951" i="15"/>
  <c r="B1950" i="15"/>
  <c r="A1950" i="15"/>
  <c r="B1949" i="15"/>
  <c r="A1949" i="15"/>
  <c r="B1948" i="15"/>
  <c r="A1948" i="15"/>
  <c r="B1947" i="15"/>
  <c r="A1947" i="15"/>
  <c r="B1946" i="15"/>
  <c r="A1946" i="15"/>
  <c r="B1945" i="15"/>
  <c r="A1945" i="15"/>
  <c r="B1944" i="15"/>
  <c r="A1944" i="15"/>
  <c r="B1943" i="15"/>
  <c r="A1943" i="15"/>
  <c r="B1942" i="15"/>
  <c r="A1942" i="15"/>
  <c r="B1941" i="15"/>
  <c r="A1941" i="15"/>
  <c r="B1940" i="15"/>
  <c r="A1940" i="15"/>
  <c r="B1939" i="15"/>
  <c r="A1939" i="15"/>
  <c r="B1938" i="15"/>
  <c r="A1938" i="15"/>
  <c r="B1937" i="15"/>
  <c r="A1937" i="15"/>
  <c r="B1936" i="15"/>
  <c r="A1936" i="15"/>
  <c r="B1935" i="15"/>
  <c r="A1935" i="15"/>
  <c r="B1934" i="15"/>
  <c r="A1934" i="15"/>
  <c r="B1933" i="15"/>
  <c r="A1933" i="15"/>
  <c r="B1932" i="15"/>
  <c r="A1932" i="15"/>
  <c r="B1931" i="15"/>
  <c r="A1931" i="15"/>
  <c r="B1930" i="15"/>
  <c r="A1930" i="15"/>
  <c r="B1929" i="15"/>
  <c r="A1929" i="15"/>
  <c r="B1928" i="15"/>
  <c r="A1928" i="15"/>
  <c r="B1927" i="15"/>
  <c r="A1927" i="15"/>
  <c r="B1926" i="15"/>
  <c r="A1926" i="15"/>
  <c r="B1925" i="15"/>
  <c r="A1925" i="15"/>
  <c r="B1924" i="15"/>
  <c r="A1924" i="15"/>
  <c r="B1923" i="15"/>
  <c r="A1923" i="15"/>
  <c r="B1922" i="15"/>
  <c r="A1922" i="15"/>
  <c r="B1921" i="15"/>
  <c r="A1921" i="15"/>
  <c r="B1920" i="15"/>
  <c r="A1920" i="15"/>
  <c r="B1919" i="15"/>
  <c r="A1919" i="15"/>
  <c r="B1918" i="15"/>
  <c r="A1918" i="15"/>
  <c r="B1917" i="15"/>
  <c r="A1917" i="15"/>
  <c r="B1916" i="15"/>
  <c r="A1916" i="15"/>
  <c r="B1915" i="15"/>
  <c r="A1915" i="15"/>
  <c r="B1914" i="15"/>
  <c r="A1914" i="15"/>
  <c r="B1913" i="15"/>
  <c r="A1913" i="15"/>
  <c r="B1912" i="15"/>
  <c r="A1912" i="15"/>
  <c r="B1911" i="15"/>
  <c r="A1911" i="15"/>
  <c r="B1910" i="15"/>
  <c r="A1910" i="15"/>
  <c r="B1909" i="15"/>
  <c r="A1909" i="15"/>
  <c r="B1908" i="15"/>
  <c r="A1908" i="15"/>
  <c r="B1907" i="15"/>
  <c r="A1907" i="15"/>
  <c r="B1906" i="15"/>
  <c r="A1906" i="15"/>
  <c r="B1905" i="15"/>
  <c r="A1905" i="15"/>
  <c r="B1904" i="15"/>
  <c r="A1904" i="15"/>
  <c r="B1903" i="15"/>
  <c r="A1903" i="15"/>
  <c r="B1902" i="15"/>
  <c r="A1902" i="15"/>
  <c r="B1901" i="15"/>
  <c r="A1901" i="15"/>
  <c r="B1900" i="15"/>
  <c r="A1900" i="15"/>
  <c r="B1899" i="15"/>
  <c r="A1899" i="15"/>
  <c r="B1898" i="15"/>
  <c r="A1898" i="15"/>
  <c r="B1897" i="15"/>
  <c r="A1897" i="15"/>
  <c r="B1896" i="15"/>
  <c r="A1896" i="15"/>
  <c r="B1895" i="15"/>
  <c r="A1895" i="15"/>
  <c r="B1894" i="15"/>
  <c r="A1894" i="15"/>
  <c r="B1893" i="15"/>
  <c r="A1893" i="15"/>
  <c r="B1892" i="15"/>
  <c r="A1892" i="15"/>
  <c r="B1891" i="15"/>
  <c r="A1891" i="15"/>
  <c r="B1890" i="15"/>
  <c r="A1890" i="15"/>
  <c r="B1889" i="15"/>
  <c r="A1889" i="15"/>
  <c r="B1888" i="15"/>
  <c r="A1888" i="15"/>
  <c r="B1887" i="15"/>
  <c r="A1887" i="15"/>
  <c r="B1886" i="15"/>
  <c r="A1886" i="15"/>
  <c r="B1885" i="15"/>
  <c r="A1885" i="15"/>
  <c r="B1884" i="15"/>
  <c r="A1884" i="15"/>
  <c r="B1883" i="15"/>
  <c r="A1883" i="15"/>
  <c r="B1882" i="15"/>
  <c r="A1882" i="15"/>
  <c r="B1881" i="15"/>
  <c r="A1881" i="15"/>
  <c r="B1880" i="15"/>
  <c r="A1880" i="15"/>
  <c r="B1879" i="15"/>
  <c r="A1879" i="15"/>
  <c r="B1878" i="15"/>
  <c r="A1878" i="15"/>
  <c r="B1877" i="15"/>
  <c r="A1877" i="15"/>
  <c r="B1876" i="15"/>
  <c r="A1876" i="15"/>
  <c r="B1875" i="15"/>
  <c r="A1875" i="15"/>
  <c r="B1874" i="15"/>
  <c r="A1874" i="15"/>
  <c r="B1873" i="15"/>
  <c r="A1873" i="15"/>
  <c r="B1872" i="15"/>
  <c r="A1872" i="15"/>
  <c r="B1871" i="15"/>
  <c r="A1871" i="15"/>
  <c r="B1870" i="15"/>
  <c r="A1870" i="15"/>
  <c r="B1869" i="15"/>
  <c r="A1869" i="15"/>
  <c r="B1868" i="15"/>
  <c r="A1868" i="15"/>
  <c r="B1867" i="15"/>
  <c r="A1867" i="15"/>
  <c r="B1866" i="15"/>
  <c r="A1866" i="15"/>
  <c r="B1865" i="15"/>
  <c r="A1865" i="15"/>
  <c r="B1864" i="15"/>
  <c r="A1864" i="15"/>
  <c r="B1863" i="15"/>
  <c r="A1863" i="15"/>
  <c r="B1862" i="15"/>
  <c r="A1862" i="15"/>
  <c r="B1861" i="15"/>
  <c r="A1861" i="15"/>
  <c r="B1860" i="15"/>
  <c r="A1860" i="15"/>
  <c r="B1859" i="15"/>
  <c r="A1859" i="15"/>
  <c r="B1858" i="15"/>
  <c r="A1858" i="15"/>
  <c r="B1857" i="15"/>
  <c r="A1857" i="15"/>
  <c r="B1856" i="15"/>
  <c r="A1856" i="15"/>
  <c r="B1855" i="15"/>
  <c r="A1855" i="15"/>
  <c r="B1854" i="15"/>
  <c r="A1854" i="15"/>
  <c r="B1853" i="15"/>
  <c r="A1853" i="15"/>
  <c r="B1852" i="15"/>
  <c r="A1852" i="15"/>
  <c r="B1851" i="15"/>
  <c r="A1851" i="15"/>
  <c r="B1850" i="15"/>
  <c r="A1850" i="15"/>
  <c r="B1849" i="15"/>
  <c r="A1849" i="15"/>
  <c r="B1848" i="15"/>
  <c r="A1848" i="15"/>
  <c r="B1847" i="15"/>
  <c r="A1847" i="15"/>
  <c r="B1846" i="15"/>
  <c r="A1846" i="15"/>
  <c r="B1845" i="15"/>
  <c r="A1845" i="15"/>
  <c r="B1844" i="15"/>
  <c r="A1844" i="15"/>
  <c r="B1843" i="15"/>
  <c r="A1843" i="15"/>
  <c r="B1842" i="15"/>
  <c r="A1842" i="15"/>
  <c r="B1841" i="15"/>
  <c r="A1841" i="15"/>
  <c r="B1840" i="15"/>
  <c r="A1840" i="15"/>
  <c r="B1839" i="15"/>
  <c r="A1839" i="15"/>
  <c r="B1838" i="15"/>
  <c r="A1838" i="15"/>
  <c r="B1837" i="15"/>
  <c r="A1837" i="15"/>
  <c r="B1836" i="15"/>
  <c r="A1836" i="15"/>
  <c r="B1835" i="15"/>
  <c r="A1835" i="15"/>
  <c r="B1834" i="15"/>
  <c r="A1834" i="15"/>
  <c r="B1833" i="15"/>
  <c r="A1833" i="15"/>
  <c r="B1832" i="15"/>
  <c r="A1832" i="15"/>
  <c r="B1831" i="15"/>
  <c r="A1831" i="15"/>
  <c r="B1830" i="15"/>
  <c r="A1830" i="15"/>
  <c r="B1829" i="15"/>
  <c r="A1829" i="15"/>
  <c r="B1828" i="15"/>
  <c r="A1828" i="15"/>
  <c r="B1827" i="15"/>
  <c r="A1827" i="15"/>
  <c r="B1826" i="15"/>
  <c r="A1826" i="15"/>
  <c r="B1825" i="15"/>
  <c r="A1825" i="15"/>
  <c r="B1824" i="15"/>
  <c r="A1824" i="15"/>
  <c r="B1823" i="15"/>
  <c r="A1823" i="15"/>
  <c r="B1822" i="15"/>
  <c r="A1822" i="15"/>
  <c r="B1821" i="15"/>
  <c r="A1821" i="15"/>
  <c r="B1820" i="15"/>
  <c r="A1820" i="15"/>
  <c r="B1819" i="15"/>
  <c r="A1819" i="15"/>
  <c r="B1818" i="15"/>
  <c r="A1818" i="15"/>
  <c r="B1817" i="15"/>
  <c r="A1817" i="15"/>
  <c r="B1816" i="15"/>
  <c r="A1816" i="15"/>
  <c r="B1815" i="15"/>
  <c r="A1815" i="15"/>
  <c r="B1814" i="15"/>
  <c r="A1814" i="15"/>
  <c r="B1813" i="15"/>
  <c r="A1813" i="15"/>
  <c r="B1812" i="15"/>
  <c r="A1812" i="15"/>
  <c r="B1811" i="15"/>
  <c r="A1811" i="15"/>
  <c r="B1810" i="15"/>
  <c r="A1810" i="15"/>
  <c r="B1809" i="15"/>
  <c r="A1809" i="15"/>
  <c r="B1808" i="15"/>
  <c r="A1808" i="15"/>
  <c r="B1807" i="15"/>
  <c r="A1807" i="15"/>
  <c r="B1806" i="15"/>
  <c r="A1806" i="15"/>
  <c r="B1805" i="15"/>
  <c r="A1805" i="15"/>
  <c r="B1804" i="15"/>
  <c r="A1804" i="15"/>
  <c r="B1803" i="15"/>
  <c r="A1803" i="15"/>
  <c r="B1802" i="15"/>
  <c r="A1802" i="15"/>
  <c r="B1801" i="15"/>
  <c r="A1801" i="15"/>
  <c r="B1800" i="15"/>
  <c r="A1800" i="15"/>
  <c r="B1799" i="15"/>
  <c r="A1799" i="15"/>
  <c r="B1798" i="15"/>
  <c r="A1798" i="15"/>
  <c r="B1797" i="15"/>
  <c r="A1797" i="15"/>
  <c r="B1796" i="15"/>
  <c r="A1796" i="15"/>
  <c r="B1795" i="15"/>
  <c r="A1795" i="15"/>
  <c r="B1794" i="15"/>
  <c r="A1794" i="15"/>
  <c r="B1793" i="15"/>
  <c r="A1793" i="15"/>
  <c r="B1792" i="15"/>
  <c r="A1792" i="15"/>
  <c r="B1791" i="15"/>
  <c r="A1791" i="15"/>
  <c r="B1790" i="15"/>
  <c r="A1790" i="15"/>
  <c r="B1789" i="15"/>
  <c r="A1789" i="15"/>
  <c r="B1788" i="15"/>
  <c r="A1788" i="15"/>
  <c r="B1787" i="15"/>
  <c r="A1787" i="15"/>
  <c r="B1786" i="15"/>
  <c r="A1786" i="15"/>
  <c r="B1785" i="15"/>
  <c r="A1785" i="15"/>
  <c r="B1784" i="15"/>
  <c r="A1784" i="15"/>
  <c r="B1783" i="15"/>
  <c r="A1783" i="15"/>
  <c r="B1782" i="15"/>
  <c r="A1782" i="15"/>
  <c r="B1781" i="15"/>
  <c r="A1781" i="15"/>
  <c r="B1780" i="15"/>
  <c r="A1780" i="15"/>
  <c r="B1779" i="15"/>
  <c r="A1779" i="15"/>
  <c r="B1778" i="15"/>
  <c r="A1778" i="15"/>
  <c r="B1777" i="15"/>
  <c r="A1777" i="15"/>
  <c r="B1776" i="15"/>
  <c r="A1776" i="15"/>
  <c r="B1775" i="15"/>
  <c r="A1775" i="15"/>
  <c r="B1774" i="15"/>
  <c r="A1774" i="15"/>
  <c r="B1773" i="15"/>
  <c r="A1773" i="15"/>
  <c r="B1772" i="15"/>
  <c r="A1772" i="15"/>
  <c r="B1771" i="15"/>
  <c r="A1771" i="15"/>
  <c r="B1770" i="15"/>
  <c r="A1770" i="15"/>
  <c r="B1769" i="15"/>
  <c r="A1769" i="15"/>
  <c r="B1768" i="15"/>
  <c r="A1768" i="15"/>
  <c r="B1767" i="15"/>
  <c r="A1767" i="15"/>
  <c r="B1766" i="15"/>
  <c r="A1766" i="15"/>
  <c r="B1765" i="15"/>
  <c r="A1765" i="15"/>
  <c r="B1764" i="15"/>
  <c r="A1764" i="15"/>
  <c r="B1763" i="15"/>
  <c r="A1763" i="15"/>
  <c r="B1762" i="15"/>
  <c r="A1762" i="15"/>
  <c r="B1761" i="15"/>
  <c r="A1761" i="15"/>
  <c r="B1760" i="15"/>
  <c r="A1760" i="15"/>
  <c r="B1759" i="15"/>
  <c r="A1759" i="15"/>
  <c r="B1758" i="15"/>
  <c r="A1758" i="15"/>
  <c r="B1757" i="15"/>
  <c r="A1757" i="15"/>
  <c r="B1756" i="15"/>
  <c r="A1756" i="15"/>
  <c r="B1755" i="15"/>
  <c r="A1755" i="15"/>
  <c r="B1754" i="15"/>
  <c r="A1754" i="15"/>
  <c r="B1753" i="15"/>
  <c r="A1753" i="15"/>
  <c r="B1752" i="15"/>
  <c r="A1752" i="15"/>
  <c r="B1751" i="15"/>
  <c r="A1751" i="15"/>
  <c r="B1750" i="15"/>
  <c r="A1750" i="15"/>
  <c r="B1749" i="15"/>
  <c r="A1749" i="15"/>
  <c r="B1748" i="15"/>
  <c r="A1748" i="15"/>
  <c r="B1747" i="15"/>
  <c r="A1747" i="15"/>
  <c r="B1746" i="15"/>
  <c r="A1746" i="15"/>
  <c r="B1745" i="15"/>
  <c r="A1745" i="15"/>
  <c r="B1744" i="15"/>
  <c r="A1744" i="15"/>
  <c r="B1743" i="15"/>
  <c r="A1743" i="15"/>
  <c r="B1742" i="15"/>
  <c r="A1742" i="15"/>
  <c r="B1741" i="15"/>
  <c r="A1741" i="15"/>
  <c r="B1740" i="15"/>
  <c r="A1740" i="15"/>
  <c r="B1739" i="15"/>
  <c r="A1739" i="15"/>
  <c r="B1738" i="15"/>
  <c r="A1738" i="15"/>
  <c r="B1737" i="15"/>
  <c r="A1737" i="15"/>
  <c r="B1736" i="15"/>
  <c r="A1736" i="15"/>
  <c r="B1735" i="15"/>
  <c r="A1735" i="15"/>
  <c r="B1734" i="15"/>
  <c r="A1734" i="15"/>
  <c r="B1733" i="15"/>
  <c r="A1733" i="15"/>
  <c r="B1732" i="15"/>
  <c r="A1732" i="15"/>
  <c r="B1731" i="15"/>
  <c r="A1731" i="15"/>
  <c r="B1730" i="15"/>
  <c r="A1730" i="15"/>
  <c r="B1729" i="15"/>
  <c r="A1729" i="15"/>
  <c r="B1728" i="15"/>
  <c r="A1728" i="15"/>
  <c r="B1727" i="15"/>
  <c r="A1727" i="15"/>
  <c r="B1726" i="15"/>
  <c r="A1726" i="15"/>
  <c r="B1725" i="15"/>
  <c r="A1725" i="15"/>
  <c r="B1724" i="15"/>
  <c r="A1724" i="15"/>
  <c r="B1723" i="15"/>
  <c r="A1723" i="15"/>
  <c r="B1722" i="15"/>
  <c r="A1722" i="15"/>
  <c r="B1721" i="15"/>
  <c r="A1721" i="15"/>
  <c r="B1720" i="15"/>
  <c r="A1720" i="15"/>
  <c r="B1719" i="15"/>
  <c r="A1719" i="15"/>
  <c r="B1718" i="15"/>
  <c r="A1718" i="15"/>
  <c r="B1717" i="15"/>
  <c r="A1717" i="15"/>
  <c r="B1716" i="15"/>
  <c r="A1716" i="15"/>
  <c r="B1715" i="15"/>
  <c r="A1715" i="15"/>
  <c r="B1714" i="15"/>
  <c r="A1714" i="15"/>
  <c r="B1713" i="15"/>
  <c r="A1713" i="15"/>
  <c r="B1712" i="15"/>
  <c r="A1712" i="15"/>
  <c r="B1711" i="15"/>
  <c r="A1711" i="15"/>
  <c r="B1710" i="15"/>
  <c r="A1710" i="15"/>
  <c r="B1709" i="15"/>
  <c r="A1709" i="15"/>
  <c r="B1708" i="15"/>
  <c r="A1708" i="15"/>
  <c r="B1707" i="15"/>
  <c r="A1707" i="15"/>
  <c r="B1706" i="15"/>
  <c r="A1706" i="15"/>
  <c r="B1705" i="15"/>
  <c r="A1705" i="15"/>
  <c r="B1704" i="15"/>
  <c r="A1704" i="15"/>
  <c r="B1703" i="15"/>
  <c r="A1703" i="15"/>
  <c r="B1702" i="15"/>
  <c r="A1702" i="15"/>
  <c r="B1701" i="15"/>
  <c r="A1701" i="15"/>
  <c r="B1700" i="15"/>
  <c r="A1700" i="15"/>
  <c r="B1699" i="15"/>
  <c r="A1699" i="15"/>
  <c r="B1698" i="15"/>
  <c r="A1698" i="15"/>
  <c r="B1697" i="15"/>
  <c r="A1697" i="15"/>
  <c r="B1696" i="15"/>
  <c r="A1696" i="15"/>
  <c r="B1695" i="15"/>
  <c r="A1695" i="15"/>
  <c r="B1694" i="15"/>
  <c r="A1694" i="15"/>
  <c r="B1693" i="15"/>
  <c r="A1693" i="15"/>
  <c r="B1692" i="15"/>
  <c r="A1692" i="15"/>
  <c r="B1691" i="15"/>
  <c r="A1691" i="15"/>
  <c r="B1690" i="15"/>
  <c r="A1690" i="15"/>
  <c r="B1689" i="15"/>
  <c r="A1689" i="15"/>
  <c r="B1688" i="15"/>
  <c r="A1688" i="15"/>
  <c r="B1687" i="15"/>
  <c r="A1687" i="15"/>
  <c r="B1686" i="15"/>
  <c r="A1686" i="15"/>
  <c r="B1685" i="15"/>
  <c r="A1685" i="15"/>
  <c r="B1684" i="15"/>
  <c r="A1684" i="15"/>
  <c r="B1683" i="15"/>
  <c r="A1683" i="15"/>
  <c r="B1682" i="15"/>
  <c r="A1682" i="15"/>
  <c r="B1681" i="15"/>
  <c r="A1681" i="15"/>
  <c r="B1680" i="15"/>
  <c r="A1680" i="15"/>
  <c r="B1679" i="15"/>
  <c r="A1679" i="15"/>
  <c r="B1678" i="15"/>
  <c r="A1678" i="15"/>
  <c r="B1677" i="15"/>
  <c r="A1677" i="15"/>
  <c r="B1676" i="15"/>
  <c r="A1676" i="15"/>
  <c r="B1675" i="15"/>
  <c r="A1675" i="15"/>
  <c r="B1674" i="15"/>
  <c r="A1674" i="15"/>
  <c r="B1673" i="15"/>
  <c r="A1673" i="15"/>
  <c r="B1672" i="15"/>
  <c r="A1672" i="15"/>
  <c r="B1671" i="15"/>
  <c r="A1671" i="15"/>
  <c r="B1670" i="15"/>
  <c r="A1670" i="15"/>
  <c r="B1669" i="15"/>
  <c r="A1669" i="15"/>
  <c r="B1668" i="15"/>
  <c r="A1668" i="15"/>
  <c r="B1667" i="15"/>
  <c r="A1667" i="15"/>
  <c r="B1666" i="15"/>
  <c r="A1666" i="15"/>
  <c r="B1665" i="15"/>
  <c r="A1665" i="15"/>
  <c r="B1664" i="15"/>
  <c r="A1664" i="15"/>
  <c r="B1663" i="15"/>
  <c r="A1663" i="15"/>
  <c r="B1662" i="15"/>
  <c r="A1662" i="15"/>
  <c r="B1661" i="15"/>
  <c r="A1661" i="15"/>
  <c r="B1660" i="15"/>
  <c r="A1660" i="15"/>
  <c r="B1659" i="15"/>
  <c r="A1659" i="15"/>
  <c r="B1658" i="15"/>
  <c r="A1658" i="15"/>
  <c r="B1657" i="15"/>
  <c r="A1657" i="15"/>
  <c r="B1656" i="15"/>
  <c r="A1656" i="15"/>
  <c r="B1655" i="15"/>
  <c r="A1655" i="15"/>
  <c r="B1654" i="15"/>
  <c r="A1654" i="15"/>
  <c r="B1653" i="15"/>
  <c r="A1653" i="15"/>
  <c r="B1652" i="15"/>
  <c r="A1652" i="15"/>
  <c r="B1651" i="15"/>
  <c r="A1651" i="15"/>
  <c r="B1650" i="15"/>
  <c r="A1650" i="15"/>
  <c r="B1649" i="15"/>
  <c r="A1649" i="15"/>
  <c r="B1648" i="15"/>
  <c r="A1648" i="15"/>
  <c r="B1647" i="15"/>
  <c r="A1647" i="15"/>
  <c r="B1646" i="15"/>
  <c r="A1646" i="15"/>
  <c r="B1645" i="15"/>
  <c r="A1645" i="15"/>
  <c r="B1644" i="15"/>
  <c r="A1644" i="15"/>
  <c r="B1643" i="15"/>
  <c r="A1643" i="15"/>
  <c r="B1642" i="15"/>
  <c r="A1642" i="15"/>
  <c r="B1641" i="15"/>
  <c r="A1641" i="15"/>
  <c r="B1640" i="15"/>
  <c r="A1640" i="15"/>
  <c r="B1639" i="15"/>
  <c r="A1639" i="15"/>
  <c r="B1638" i="15"/>
  <c r="A1638" i="15"/>
  <c r="B1637" i="15"/>
  <c r="A1637" i="15"/>
  <c r="B1636" i="15"/>
  <c r="A1636" i="15"/>
  <c r="B1635" i="15"/>
  <c r="A1635" i="15"/>
  <c r="B1634" i="15"/>
  <c r="A1634" i="15"/>
  <c r="B1633" i="15"/>
  <c r="A1633" i="15"/>
  <c r="B1632" i="15"/>
  <c r="A1632" i="15"/>
  <c r="B1631" i="15"/>
  <c r="A1631" i="15"/>
  <c r="B1630" i="15"/>
  <c r="A1630" i="15"/>
  <c r="B1629" i="15"/>
  <c r="A1629" i="15"/>
  <c r="B1628" i="15"/>
  <c r="A1628" i="15"/>
  <c r="B1627" i="15"/>
  <c r="A1627" i="15"/>
  <c r="B1626" i="15"/>
  <c r="A1626" i="15"/>
  <c r="B1625" i="15"/>
  <c r="A1625" i="15"/>
  <c r="B1624" i="15"/>
  <c r="A1624" i="15"/>
  <c r="B1623" i="15"/>
  <c r="A1623" i="15"/>
  <c r="B1622" i="15"/>
  <c r="A1622" i="15"/>
  <c r="B1621" i="15"/>
  <c r="A1621" i="15"/>
  <c r="B1620" i="15"/>
  <c r="A1620" i="15"/>
  <c r="B1619" i="15"/>
  <c r="A1619" i="15"/>
  <c r="B1618" i="15"/>
  <c r="A1618" i="15"/>
  <c r="B1617" i="15"/>
  <c r="A1617" i="15"/>
  <c r="B1616" i="15"/>
  <c r="A1616" i="15"/>
  <c r="B1615" i="15"/>
  <c r="A1615" i="15"/>
  <c r="B1614" i="15"/>
  <c r="A1614" i="15"/>
  <c r="B1613" i="15"/>
  <c r="A1613" i="15"/>
  <c r="B1612" i="15"/>
  <c r="A1612" i="15"/>
  <c r="B1611" i="15"/>
  <c r="A1611" i="15"/>
  <c r="B1610" i="15"/>
  <c r="A1610" i="15"/>
  <c r="B1609" i="15"/>
  <c r="A1609" i="15"/>
  <c r="B1608" i="15"/>
  <c r="A1608" i="15"/>
  <c r="B1607" i="15"/>
  <c r="A1607" i="15"/>
  <c r="B1606" i="15"/>
  <c r="A1606" i="15"/>
  <c r="B1605" i="15"/>
  <c r="A1605" i="15"/>
  <c r="B1604" i="15"/>
  <c r="A1604" i="15"/>
  <c r="B1603" i="15"/>
  <c r="A1603" i="15"/>
  <c r="B1602" i="15"/>
  <c r="A1602" i="15"/>
  <c r="B1601" i="15"/>
  <c r="A1601" i="15"/>
  <c r="B1600" i="15"/>
  <c r="A1600" i="15"/>
  <c r="B1599" i="15"/>
  <c r="A1599" i="15"/>
  <c r="B1598" i="15"/>
  <c r="A1598" i="15"/>
  <c r="B1597" i="15"/>
  <c r="A1597" i="15"/>
  <c r="B1596" i="15"/>
  <c r="A1596" i="15"/>
  <c r="B1595" i="15"/>
  <c r="A1595" i="15"/>
  <c r="B1594" i="15"/>
  <c r="A1594" i="15"/>
  <c r="B1593" i="15"/>
  <c r="A1593" i="15"/>
  <c r="B1592" i="15"/>
  <c r="A1592" i="15"/>
  <c r="B1591" i="15"/>
  <c r="A1591" i="15"/>
  <c r="B1590" i="15"/>
  <c r="A1590" i="15"/>
  <c r="B1589" i="15"/>
  <c r="A1589" i="15"/>
  <c r="B1588" i="15"/>
  <c r="A1588" i="15"/>
  <c r="B1587" i="15"/>
  <c r="A1587" i="15"/>
  <c r="B1586" i="15"/>
  <c r="A1586" i="15"/>
  <c r="B1585" i="15"/>
  <c r="A1585" i="15"/>
  <c r="B1584" i="15"/>
  <c r="A1584" i="15"/>
  <c r="B1583" i="15"/>
  <c r="A1583" i="15"/>
  <c r="B1582" i="15"/>
  <c r="A1582" i="15"/>
  <c r="B1581" i="15"/>
  <c r="A1581" i="15"/>
  <c r="B1580" i="15"/>
  <c r="A1580" i="15"/>
  <c r="B1579" i="15"/>
  <c r="A1579" i="15"/>
  <c r="B1578" i="15"/>
  <c r="A1578" i="15"/>
  <c r="B1577" i="15"/>
  <c r="A1577" i="15"/>
  <c r="B1576" i="15"/>
  <c r="A1576" i="15"/>
  <c r="B1575" i="15"/>
  <c r="A1575" i="15"/>
  <c r="B1574" i="15"/>
  <c r="A1574" i="15"/>
  <c r="B1573" i="15"/>
  <c r="A1573" i="15"/>
  <c r="B1572" i="15"/>
  <c r="A1572" i="15"/>
  <c r="B1571" i="15"/>
  <c r="A1571" i="15"/>
  <c r="B1570" i="15"/>
  <c r="A1570" i="15"/>
  <c r="B1569" i="15"/>
  <c r="A1569" i="15"/>
  <c r="B1568" i="15"/>
  <c r="A1568" i="15"/>
  <c r="B1567" i="15"/>
  <c r="A1567" i="15"/>
  <c r="B1566" i="15"/>
  <c r="A1566" i="15"/>
  <c r="B1565" i="15"/>
  <c r="A1565" i="15"/>
  <c r="B1564" i="15"/>
  <c r="A1564" i="15"/>
  <c r="B1563" i="15"/>
  <c r="A1563" i="15"/>
  <c r="B1562" i="15"/>
  <c r="A1562" i="15"/>
  <c r="B1561" i="15"/>
  <c r="A1561" i="15"/>
  <c r="B1560" i="15"/>
  <c r="A1560" i="15"/>
  <c r="B1559" i="15"/>
  <c r="A1559" i="15"/>
  <c r="B1558" i="15"/>
  <c r="A1558" i="15"/>
  <c r="B1557" i="15"/>
  <c r="A1557" i="15"/>
  <c r="B1556" i="15"/>
  <c r="A1556" i="15"/>
  <c r="B1555" i="15"/>
  <c r="A1555" i="15"/>
  <c r="B1554" i="15"/>
  <c r="A1554" i="15"/>
  <c r="B1553" i="15"/>
  <c r="A1553" i="15"/>
  <c r="B1552" i="15"/>
  <c r="A1552" i="15"/>
  <c r="B1551" i="15"/>
  <c r="A1551" i="15"/>
  <c r="B1550" i="15"/>
  <c r="A1550" i="15"/>
  <c r="B1549" i="15"/>
  <c r="A1549" i="15"/>
  <c r="B1548" i="15"/>
  <c r="A1548" i="15"/>
  <c r="B1547" i="15"/>
  <c r="A1547" i="15"/>
  <c r="B1546" i="15"/>
  <c r="A1546" i="15"/>
  <c r="B1545" i="15"/>
  <c r="A1545" i="15"/>
  <c r="B1544" i="15"/>
  <c r="A1544" i="15"/>
  <c r="B1543" i="15"/>
  <c r="A1543" i="15"/>
  <c r="B1542" i="15"/>
  <c r="A1542" i="15"/>
  <c r="B1541" i="15"/>
  <c r="A1541" i="15"/>
  <c r="B1540" i="15"/>
  <c r="A1540" i="15"/>
  <c r="B1539" i="15"/>
  <c r="A1539" i="15"/>
  <c r="B1538" i="15"/>
  <c r="A1538" i="15"/>
  <c r="B1537" i="15"/>
  <c r="A1537" i="15"/>
  <c r="B1536" i="15"/>
  <c r="A1536" i="15"/>
  <c r="B1535" i="15"/>
  <c r="A1535" i="15"/>
  <c r="B1534" i="15"/>
  <c r="A1534" i="15"/>
  <c r="B1533" i="15"/>
  <c r="A1533" i="15"/>
  <c r="B1532" i="15"/>
  <c r="A1532" i="15"/>
  <c r="B1531" i="15"/>
  <c r="A1531" i="15"/>
  <c r="B1530" i="15"/>
  <c r="A1530" i="15"/>
  <c r="B1529" i="15"/>
  <c r="A1529" i="15"/>
  <c r="B1528" i="15"/>
  <c r="A1528" i="15"/>
  <c r="B1527" i="15"/>
  <c r="A1527" i="15"/>
  <c r="B1526" i="15"/>
  <c r="A1526" i="15"/>
  <c r="B1525" i="15"/>
  <c r="A1525" i="15"/>
  <c r="B1524" i="15"/>
  <c r="A1524" i="15"/>
  <c r="B1523" i="15"/>
  <c r="A1523" i="15"/>
  <c r="B1522" i="15"/>
  <c r="A1522" i="15"/>
  <c r="B1521" i="15"/>
  <c r="A1521" i="15"/>
  <c r="B1520" i="15"/>
  <c r="A1520" i="15"/>
  <c r="B1519" i="15"/>
  <c r="A1519" i="15"/>
  <c r="B1518" i="15"/>
  <c r="A1518" i="15"/>
  <c r="B1517" i="15"/>
  <c r="A1517" i="15"/>
  <c r="B1516" i="15"/>
  <c r="A1516" i="15"/>
  <c r="B1515" i="15"/>
  <c r="A1515" i="15"/>
  <c r="B1514" i="15"/>
  <c r="A1514" i="15"/>
  <c r="B1513" i="15"/>
  <c r="A1513" i="15"/>
  <c r="B1512" i="15"/>
  <c r="A1512" i="15"/>
  <c r="B1511" i="15"/>
  <c r="A1511" i="15"/>
  <c r="B1510" i="15"/>
  <c r="A1510" i="15"/>
  <c r="B1509" i="15"/>
  <c r="A1509" i="15"/>
  <c r="B1508" i="15"/>
  <c r="A1508" i="15"/>
  <c r="B1507" i="15"/>
  <c r="A1507" i="15"/>
  <c r="B1506" i="15"/>
  <c r="A1506" i="15"/>
  <c r="B1505" i="15"/>
  <c r="A1505" i="15"/>
  <c r="B1504" i="15"/>
  <c r="A1504" i="15"/>
  <c r="B1503" i="15"/>
  <c r="A1503" i="15"/>
  <c r="B1502" i="15"/>
  <c r="A1502" i="15"/>
  <c r="B1501" i="15"/>
  <c r="A1501" i="15"/>
  <c r="B1500" i="15"/>
  <c r="A1500" i="15"/>
  <c r="B1499" i="15"/>
  <c r="A1499" i="15"/>
  <c r="B1498" i="15"/>
  <c r="A1498" i="15"/>
  <c r="B1497" i="15"/>
  <c r="A1497" i="15"/>
  <c r="B1496" i="15"/>
  <c r="A1496" i="15"/>
  <c r="B1495" i="15"/>
  <c r="A1495" i="15"/>
  <c r="B1494" i="15"/>
  <c r="A1494" i="15"/>
  <c r="B1493" i="15"/>
  <c r="A1493" i="15"/>
  <c r="B1492" i="15"/>
  <c r="A1492" i="15"/>
  <c r="B1491" i="15"/>
  <c r="A1491" i="15"/>
  <c r="B1490" i="15"/>
  <c r="A1490" i="15"/>
  <c r="B1489" i="15"/>
  <c r="A1489" i="15"/>
  <c r="B1488" i="15"/>
  <c r="A1488" i="15"/>
  <c r="B1487" i="15"/>
  <c r="A1487" i="15"/>
  <c r="B1486" i="15"/>
  <c r="A1486" i="15"/>
  <c r="B1485" i="15"/>
  <c r="A1485" i="15"/>
  <c r="B1484" i="15"/>
  <c r="A1484" i="15"/>
  <c r="B1483" i="15"/>
  <c r="A1483" i="15"/>
  <c r="B1482" i="15"/>
  <c r="A1482" i="15"/>
  <c r="B1481" i="15"/>
  <c r="A1481" i="15"/>
  <c r="B1480" i="15"/>
  <c r="A1480" i="15"/>
  <c r="B1479" i="15"/>
  <c r="A1479" i="15"/>
  <c r="B1478" i="15"/>
  <c r="A1478" i="15"/>
  <c r="B1477" i="15"/>
  <c r="A1477" i="15"/>
  <c r="B1476" i="15"/>
  <c r="A1476" i="15"/>
  <c r="B1475" i="15"/>
  <c r="A1475" i="15"/>
  <c r="B1474" i="15"/>
  <c r="A1474" i="15"/>
  <c r="B1473" i="15"/>
  <c r="A1473" i="15"/>
  <c r="B1472" i="15"/>
  <c r="A1472" i="15"/>
  <c r="B1471" i="15"/>
  <c r="A1471" i="15"/>
  <c r="B1470" i="15"/>
  <c r="A1470" i="15"/>
  <c r="B1469" i="15"/>
  <c r="A1469" i="15"/>
  <c r="B1468" i="15"/>
  <c r="A1468" i="15"/>
  <c r="B1467" i="15"/>
  <c r="A1467" i="15"/>
  <c r="B1466" i="15"/>
  <c r="A1466" i="15"/>
  <c r="B1465" i="15"/>
  <c r="A1465" i="15"/>
  <c r="B1464" i="15"/>
  <c r="A1464" i="15"/>
  <c r="B1463" i="15"/>
  <c r="A1463" i="15"/>
  <c r="B1462" i="15"/>
  <c r="A1462" i="15"/>
  <c r="B1461" i="15"/>
  <c r="A1461" i="15"/>
  <c r="B1460" i="15"/>
  <c r="A1460" i="15"/>
  <c r="B1459" i="15"/>
  <c r="A1459" i="15"/>
  <c r="B1458" i="15"/>
  <c r="A1458" i="15"/>
  <c r="B1457" i="15"/>
  <c r="A1457" i="15"/>
  <c r="B1456" i="15"/>
  <c r="A1456" i="15"/>
  <c r="B1455" i="15"/>
  <c r="A1455" i="15"/>
  <c r="B1454" i="15"/>
  <c r="A1454" i="15"/>
  <c r="B1453" i="15"/>
  <c r="A1453" i="15"/>
  <c r="B1452" i="15"/>
  <c r="A1452" i="15"/>
  <c r="B1451" i="15"/>
  <c r="A1451" i="15"/>
  <c r="B1450" i="15"/>
  <c r="A1450" i="15"/>
  <c r="B1449" i="15"/>
  <c r="A1449" i="15"/>
  <c r="B1448" i="15"/>
  <c r="A1448" i="15"/>
  <c r="B1447" i="15"/>
  <c r="A1447" i="15"/>
  <c r="B1446" i="15"/>
  <c r="A1446" i="15"/>
  <c r="B1445" i="15"/>
  <c r="A1445" i="15"/>
  <c r="B1444" i="15"/>
  <c r="A1444" i="15"/>
  <c r="B1443" i="15"/>
  <c r="A1443" i="15"/>
  <c r="B1442" i="15"/>
  <c r="A1442" i="15"/>
  <c r="B1441" i="15"/>
  <c r="A1441" i="15"/>
  <c r="B1440" i="15"/>
  <c r="A1440" i="15"/>
  <c r="B1439" i="15"/>
  <c r="A1439" i="15"/>
  <c r="B1438" i="15"/>
  <c r="A1438" i="15"/>
  <c r="B1437" i="15"/>
  <c r="A1437" i="15"/>
  <c r="B1436" i="15"/>
  <c r="A1436" i="15"/>
  <c r="B1435" i="15"/>
  <c r="A1435" i="15"/>
  <c r="B1434" i="15"/>
  <c r="A1434" i="15"/>
  <c r="B1433" i="15"/>
  <c r="A1433" i="15"/>
  <c r="B1432" i="15"/>
  <c r="A1432" i="15"/>
  <c r="B1431" i="15"/>
  <c r="A1431" i="15"/>
  <c r="B1430" i="15"/>
  <c r="A1430" i="15"/>
  <c r="B1429" i="15"/>
  <c r="A1429" i="15"/>
  <c r="B1428" i="15"/>
  <c r="A1428" i="15"/>
  <c r="B1427" i="15"/>
  <c r="A1427" i="15"/>
  <c r="B1426" i="15"/>
  <c r="A1426" i="15"/>
  <c r="B1425" i="15"/>
  <c r="A1425" i="15"/>
  <c r="B1424" i="15"/>
  <c r="A1424" i="15"/>
  <c r="B1423" i="15"/>
  <c r="A1423" i="15"/>
  <c r="B1422" i="15"/>
  <c r="A1422" i="15"/>
  <c r="B1421" i="15"/>
  <c r="A1421" i="15"/>
  <c r="B1420" i="15"/>
  <c r="A1420" i="15"/>
  <c r="B1419" i="15"/>
  <c r="A1419" i="15"/>
  <c r="B1418" i="15"/>
  <c r="A1418" i="15"/>
  <c r="B1417" i="15"/>
  <c r="A1417" i="15"/>
  <c r="B1416" i="15"/>
  <c r="A1416" i="15"/>
  <c r="B1415" i="15"/>
  <c r="A1415" i="15"/>
  <c r="B1414" i="15"/>
  <c r="A1414" i="15"/>
  <c r="B1413" i="15"/>
  <c r="A1413" i="15"/>
  <c r="B1412" i="15"/>
  <c r="A1412" i="15"/>
  <c r="B1411" i="15"/>
  <c r="A1411" i="15"/>
  <c r="B1410" i="15"/>
  <c r="A1410" i="15"/>
  <c r="B1409" i="15"/>
  <c r="A1409" i="15"/>
  <c r="B1408" i="15"/>
  <c r="A1408" i="15"/>
  <c r="B1407" i="15"/>
  <c r="A1407" i="15"/>
  <c r="B1406" i="15"/>
  <c r="A1406" i="15"/>
  <c r="B1405" i="15"/>
  <c r="A1405" i="15"/>
  <c r="B1404" i="15"/>
  <c r="A1404" i="15"/>
  <c r="B1403" i="15"/>
  <c r="A1403" i="15"/>
  <c r="B1402" i="15"/>
  <c r="A1402" i="15"/>
  <c r="B1401" i="15"/>
  <c r="A1401" i="15"/>
  <c r="B1400" i="15"/>
  <c r="A1400" i="15"/>
  <c r="B1399" i="15"/>
  <c r="A1399" i="15"/>
  <c r="B1398" i="15"/>
  <c r="A1398" i="15"/>
  <c r="B1397" i="15"/>
  <c r="A1397" i="15"/>
  <c r="B1396" i="15"/>
  <c r="A1396" i="15"/>
  <c r="B1395" i="15"/>
  <c r="A1395" i="15"/>
  <c r="B1394" i="15"/>
  <c r="A1394" i="15"/>
  <c r="B1393" i="15"/>
  <c r="A1393" i="15"/>
  <c r="B1392" i="15"/>
  <c r="A1392" i="15"/>
  <c r="B1391" i="15"/>
  <c r="A1391" i="15"/>
  <c r="B1390" i="15"/>
  <c r="A1390" i="15"/>
  <c r="B1389" i="15"/>
  <c r="A1389" i="15"/>
  <c r="B1388" i="15"/>
  <c r="A1388" i="15"/>
  <c r="B1387" i="15"/>
  <c r="A1387" i="15"/>
  <c r="B1386" i="15"/>
  <c r="A1386" i="15"/>
  <c r="B1385" i="15"/>
  <c r="A1385" i="15"/>
  <c r="B1384" i="15"/>
  <c r="A1384" i="15"/>
  <c r="B1383" i="15"/>
  <c r="A1383" i="15"/>
  <c r="B1382" i="15"/>
  <c r="A1382" i="15"/>
  <c r="B1381" i="15"/>
  <c r="A1381" i="15"/>
  <c r="B1380" i="15"/>
  <c r="A1380" i="15"/>
  <c r="B1379" i="15"/>
  <c r="A1379" i="15"/>
  <c r="B1378" i="15"/>
  <c r="A1378" i="15"/>
  <c r="B1377" i="15"/>
  <c r="A1377" i="15"/>
  <c r="B1376" i="15"/>
  <c r="A1376" i="15"/>
  <c r="B1375" i="15"/>
  <c r="A1375" i="15"/>
  <c r="B1374" i="15"/>
  <c r="A1374" i="15"/>
  <c r="B1373" i="15"/>
  <c r="A1373" i="15"/>
  <c r="B1372" i="15"/>
  <c r="A1372" i="15"/>
  <c r="B1371" i="15"/>
  <c r="A1371" i="15"/>
  <c r="B1370" i="15"/>
  <c r="A1370" i="15"/>
  <c r="B1369" i="15"/>
  <c r="A1369" i="15"/>
  <c r="B1368" i="15"/>
  <c r="A1368" i="15"/>
  <c r="B1367" i="15"/>
  <c r="A1367" i="15"/>
  <c r="B1366" i="15"/>
  <c r="A1366" i="15"/>
  <c r="B1365" i="15"/>
  <c r="A1365" i="15"/>
  <c r="B1364" i="15"/>
  <c r="A1364" i="15"/>
  <c r="B1363" i="15"/>
  <c r="A1363" i="15"/>
  <c r="B1362" i="15"/>
  <c r="A1362" i="15"/>
  <c r="B1361" i="15"/>
  <c r="A1361" i="15"/>
  <c r="B1360" i="15"/>
  <c r="A1360" i="15"/>
  <c r="B1359" i="15"/>
  <c r="A1359" i="15"/>
  <c r="B1358" i="15"/>
  <c r="A1358" i="15"/>
  <c r="B1357" i="15"/>
  <c r="A1357" i="15"/>
  <c r="B1356" i="15"/>
  <c r="A1356" i="15"/>
  <c r="B1355" i="15"/>
  <c r="A1355" i="15"/>
  <c r="B1354" i="15"/>
  <c r="A1354" i="15"/>
  <c r="B1353" i="15"/>
  <c r="A1353" i="15"/>
  <c r="B1352" i="15"/>
  <c r="A1352" i="15"/>
  <c r="B1351" i="15"/>
  <c r="A1351" i="15"/>
  <c r="B1350" i="15"/>
  <c r="A1350" i="15"/>
  <c r="B1349" i="15"/>
  <c r="A1349" i="15"/>
  <c r="B1348" i="15"/>
  <c r="A1348" i="15"/>
  <c r="B1347" i="15"/>
  <c r="A1347" i="15"/>
  <c r="B1346" i="15"/>
  <c r="A1346" i="15"/>
  <c r="B1345" i="15"/>
  <c r="A1345" i="15"/>
  <c r="B1344" i="15"/>
  <c r="A1344" i="15"/>
  <c r="B1343" i="15"/>
  <c r="A1343" i="15"/>
  <c r="B1342" i="15"/>
  <c r="A1342" i="15"/>
  <c r="B1341" i="15"/>
  <c r="A1341" i="15"/>
  <c r="B1340" i="15"/>
  <c r="A1340" i="15"/>
  <c r="B1339" i="15"/>
  <c r="A1339" i="15"/>
  <c r="B1338" i="15"/>
  <c r="A1338" i="15"/>
  <c r="B1337" i="15"/>
  <c r="A1337" i="15"/>
  <c r="B1336" i="15"/>
  <c r="A1336" i="15"/>
  <c r="B1335" i="15"/>
  <c r="A1335" i="15"/>
  <c r="B1334" i="15"/>
  <c r="A1334" i="15"/>
  <c r="B1333" i="15"/>
  <c r="A1333" i="15"/>
  <c r="B1332" i="15"/>
  <c r="A1332" i="15"/>
  <c r="B1331" i="15"/>
  <c r="A1331" i="15"/>
  <c r="B1330" i="15"/>
  <c r="A1330" i="15"/>
  <c r="B1329" i="15"/>
  <c r="A1329" i="15"/>
  <c r="B1328" i="15"/>
  <c r="A1328" i="15"/>
  <c r="B1327" i="15"/>
  <c r="A1327" i="15"/>
  <c r="B1326" i="15"/>
  <c r="A1326" i="15"/>
  <c r="B1325" i="15"/>
  <c r="A1325" i="15"/>
  <c r="B1324" i="15"/>
  <c r="A1324" i="15"/>
  <c r="B1323" i="15"/>
  <c r="A1323" i="15"/>
  <c r="B1322" i="15"/>
  <c r="A1322" i="15"/>
  <c r="B1321" i="15"/>
  <c r="A1321" i="15"/>
  <c r="B1320" i="15"/>
  <c r="A1320" i="15"/>
  <c r="B1319" i="15"/>
  <c r="A1319" i="15"/>
  <c r="B1318" i="15"/>
  <c r="A1318" i="15"/>
  <c r="B1317" i="15"/>
  <c r="A1317" i="15"/>
  <c r="B1316" i="15"/>
  <c r="A1316" i="15"/>
  <c r="B1315" i="15"/>
  <c r="A1315" i="15"/>
  <c r="B1314" i="15"/>
  <c r="A1314" i="15"/>
  <c r="B1313" i="15"/>
  <c r="A1313" i="15"/>
  <c r="B1312" i="15"/>
  <c r="A1312" i="15"/>
  <c r="B1311" i="15"/>
  <c r="A1311" i="15"/>
  <c r="B1310" i="15"/>
  <c r="A1310" i="15"/>
  <c r="B1309" i="15"/>
  <c r="A1309" i="15"/>
  <c r="B1308" i="15"/>
  <c r="A1308" i="15"/>
  <c r="B1307" i="15"/>
  <c r="A1307" i="15"/>
  <c r="B1306" i="15"/>
  <c r="A1306" i="15"/>
  <c r="B1305" i="15"/>
  <c r="A1305" i="15"/>
  <c r="B1304" i="15"/>
  <c r="A1304" i="15"/>
  <c r="B1303" i="15"/>
  <c r="A1303" i="15"/>
  <c r="B1302" i="15"/>
  <c r="A1302" i="15"/>
  <c r="B1301" i="15"/>
  <c r="A1301" i="15"/>
  <c r="B1300" i="15"/>
  <c r="A1300" i="15"/>
  <c r="B1299" i="15"/>
  <c r="A1299" i="15"/>
  <c r="B1298" i="15"/>
  <c r="A1298" i="15"/>
  <c r="B1297" i="15"/>
  <c r="A1297" i="15"/>
  <c r="B1296" i="15"/>
  <c r="A1296" i="15"/>
  <c r="B1295" i="15"/>
  <c r="A1295" i="15"/>
  <c r="B1294" i="15"/>
  <c r="A1294" i="15"/>
  <c r="B1293" i="15"/>
  <c r="A1293" i="15"/>
  <c r="B1292" i="15"/>
  <c r="A1292" i="15"/>
  <c r="B1291" i="15"/>
  <c r="A1291" i="15"/>
  <c r="B1290" i="15"/>
  <c r="A1290" i="15"/>
  <c r="B1289" i="15"/>
  <c r="A1289" i="15"/>
  <c r="B1288" i="15"/>
  <c r="A1288" i="15"/>
  <c r="B1287" i="15"/>
  <c r="A1287" i="15"/>
  <c r="B1286" i="15"/>
  <c r="A1286" i="15"/>
  <c r="B1285" i="15"/>
  <c r="A1285" i="15"/>
  <c r="B1284" i="15"/>
  <c r="A1284" i="15"/>
  <c r="B1283" i="15"/>
  <c r="A1283" i="15"/>
  <c r="B1282" i="15"/>
  <c r="A1282" i="15"/>
  <c r="B1281" i="15"/>
  <c r="A1281" i="15"/>
  <c r="B1280" i="15"/>
  <c r="A1280" i="15"/>
  <c r="B1279" i="15"/>
  <c r="A1279" i="15"/>
  <c r="B1278" i="15"/>
  <c r="A1278" i="15"/>
  <c r="B1277" i="15"/>
  <c r="A1277" i="15"/>
  <c r="B1276" i="15"/>
  <c r="A1276" i="15"/>
  <c r="B1275" i="15"/>
  <c r="A1275" i="15"/>
  <c r="B1274" i="15"/>
  <c r="A1274" i="15"/>
  <c r="B1273" i="15"/>
  <c r="A1273" i="15"/>
  <c r="B1272" i="15"/>
  <c r="A1272" i="15"/>
  <c r="B1271" i="15"/>
  <c r="A1271" i="15"/>
  <c r="B1270" i="15"/>
  <c r="A1270" i="15"/>
  <c r="B1269" i="15"/>
  <c r="A1269" i="15"/>
  <c r="B1268" i="15"/>
  <c r="A1268" i="15"/>
  <c r="B1267" i="15"/>
  <c r="A1267" i="15"/>
  <c r="B1266" i="15"/>
  <c r="A1266" i="15"/>
  <c r="B1265" i="15"/>
  <c r="A1265" i="15"/>
  <c r="B1264" i="15"/>
  <c r="A1264" i="15"/>
  <c r="B1263" i="15"/>
  <c r="A1263" i="15"/>
  <c r="B1262" i="15"/>
  <c r="A1262" i="15"/>
  <c r="B1261" i="15"/>
  <c r="A1261" i="15"/>
  <c r="B1260" i="15"/>
  <c r="A1260" i="15"/>
  <c r="B1259" i="15"/>
  <c r="A1259" i="15"/>
  <c r="B1258" i="15"/>
  <c r="A1258" i="15"/>
  <c r="B1257" i="15"/>
  <c r="A1257" i="15"/>
  <c r="B1256" i="15"/>
  <c r="A1256" i="15"/>
  <c r="B1255" i="15"/>
  <c r="A1255" i="15"/>
  <c r="B1254" i="15"/>
  <c r="A1254" i="15"/>
  <c r="B1253" i="15"/>
  <c r="A1253" i="15"/>
  <c r="B1252" i="15"/>
  <c r="A1252" i="15"/>
  <c r="B1251" i="15"/>
  <c r="A1251" i="15"/>
  <c r="B1250" i="15"/>
  <c r="A1250" i="15"/>
  <c r="B1249" i="15"/>
  <c r="A1249" i="15"/>
  <c r="B1248" i="15"/>
  <c r="A1248" i="15"/>
  <c r="B1247" i="15"/>
  <c r="A1247" i="15"/>
  <c r="B1246" i="15"/>
  <c r="A1246" i="15"/>
  <c r="B1245" i="15"/>
  <c r="A1245" i="15"/>
  <c r="B1244" i="15"/>
  <c r="A1244" i="15"/>
  <c r="B1243" i="15"/>
  <c r="A1243" i="15"/>
  <c r="B1242" i="15"/>
  <c r="A1242" i="15"/>
  <c r="B1241" i="15"/>
  <c r="A1241" i="15"/>
  <c r="B1240" i="15"/>
  <c r="A1240" i="15"/>
  <c r="B1239" i="15"/>
  <c r="A1239" i="15"/>
  <c r="B1238" i="15"/>
  <c r="A1238" i="15"/>
  <c r="B1237" i="15"/>
  <c r="A1237" i="15"/>
  <c r="B1236" i="15"/>
  <c r="A1236" i="15"/>
  <c r="B1235" i="15"/>
  <c r="A1235" i="15"/>
  <c r="B1234" i="15"/>
  <c r="A1234" i="15"/>
  <c r="B1233" i="15"/>
  <c r="A1233" i="15"/>
  <c r="B1232" i="15"/>
  <c r="A1232" i="15"/>
  <c r="B1231" i="15"/>
  <c r="A1231" i="15"/>
  <c r="B1230" i="15"/>
  <c r="A1230" i="15"/>
  <c r="B1229" i="15"/>
  <c r="A1229" i="15"/>
  <c r="B1228" i="15"/>
  <c r="A1228" i="15"/>
  <c r="B1227" i="15"/>
  <c r="A1227" i="15"/>
  <c r="B1226" i="15"/>
  <c r="A1226" i="15"/>
  <c r="B1225" i="15"/>
  <c r="A1225" i="15"/>
  <c r="B1224" i="15"/>
  <c r="A1224" i="15"/>
  <c r="B1223" i="15"/>
  <c r="A1223" i="15"/>
  <c r="B1222" i="15"/>
  <c r="A1222" i="15"/>
  <c r="B1221" i="15"/>
  <c r="A1221" i="15"/>
  <c r="B1220" i="15"/>
  <c r="A1220" i="15"/>
  <c r="B1219" i="15"/>
  <c r="A1219" i="15"/>
  <c r="B1218" i="15"/>
  <c r="A1218" i="15"/>
  <c r="B1217" i="15"/>
  <c r="A1217" i="15"/>
  <c r="B1216" i="15"/>
  <c r="A1216" i="15"/>
  <c r="B1215" i="15"/>
  <c r="A1215" i="15"/>
  <c r="B1214" i="15"/>
  <c r="A1214" i="15"/>
  <c r="B1213" i="15"/>
  <c r="A1213" i="15"/>
  <c r="B1212" i="15"/>
  <c r="A1212" i="15"/>
  <c r="B1211" i="15"/>
  <c r="A1211" i="15"/>
  <c r="B1210" i="15"/>
  <c r="A1210" i="15"/>
  <c r="B1209" i="15"/>
  <c r="A1209" i="15"/>
  <c r="B1208" i="15"/>
  <c r="A1208" i="15"/>
  <c r="B1207" i="15"/>
  <c r="A1207" i="15"/>
  <c r="B1206" i="15"/>
  <c r="A1206" i="15"/>
  <c r="B1205" i="15"/>
  <c r="A1205" i="15"/>
  <c r="B1204" i="15"/>
  <c r="A1204" i="15"/>
  <c r="B1203" i="15"/>
  <c r="A1203" i="15"/>
  <c r="B1202" i="15"/>
  <c r="A1202" i="15"/>
  <c r="B1201" i="15"/>
  <c r="A1201" i="15"/>
  <c r="B1200" i="15"/>
  <c r="A1200" i="15"/>
  <c r="B1199" i="15"/>
  <c r="A1199" i="15"/>
  <c r="B1198" i="15"/>
  <c r="A1198" i="15"/>
  <c r="B1197" i="15"/>
  <c r="A1197" i="15"/>
  <c r="B1196" i="15"/>
  <c r="A1196" i="15"/>
  <c r="B1195" i="15"/>
  <c r="A1195" i="15"/>
  <c r="B1194" i="15"/>
  <c r="A1194" i="15"/>
  <c r="B1193" i="15"/>
  <c r="A1193" i="15"/>
  <c r="B1192" i="15"/>
  <c r="A1192" i="15"/>
  <c r="B1191" i="15"/>
  <c r="A1191" i="15"/>
  <c r="B1190" i="15"/>
  <c r="A1190" i="15"/>
  <c r="B1189" i="15"/>
  <c r="A1189" i="15"/>
  <c r="B1188" i="15"/>
  <c r="A1188" i="15"/>
  <c r="B1187" i="15"/>
  <c r="A1187" i="15"/>
  <c r="B1186" i="15"/>
  <c r="A1186" i="15"/>
  <c r="B1185" i="15"/>
  <c r="A1185" i="15"/>
  <c r="B1184" i="15"/>
  <c r="A1184" i="15"/>
  <c r="B1183" i="15"/>
  <c r="A1183" i="15"/>
  <c r="B1182" i="15"/>
  <c r="A1182" i="15"/>
  <c r="B1181" i="15"/>
  <c r="A1181" i="15"/>
  <c r="B1180" i="15"/>
  <c r="A1180" i="15"/>
  <c r="B1179" i="15"/>
  <c r="A1179" i="15"/>
  <c r="B1178" i="15"/>
  <c r="A1178" i="15"/>
  <c r="B1177" i="15"/>
  <c r="A1177" i="15"/>
  <c r="B1176" i="15"/>
  <c r="A1176" i="15"/>
  <c r="B1175" i="15"/>
  <c r="A1175" i="15"/>
  <c r="B1174" i="15"/>
  <c r="A1174" i="15"/>
  <c r="B1173" i="15"/>
  <c r="A1173" i="15"/>
  <c r="B1172" i="15"/>
  <c r="A1172" i="15"/>
  <c r="B1171" i="15"/>
  <c r="A1171" i="15"/>
  <c r="B1170" i="15"/>
  <c r="A1170" i="15"/>
  <c r="B1169" i="15"/>
  <c r="A1169" i="15"/>
  <c r="B1168" i="15"/>
  <c r="A1168" i="15"/>
  <c r="B1167" i="15"/>
  <c r="A1167" i="15"/>
  <c r="B1166" i="15"/>
  <c r="A1166" i="15"/>
  <c r="B1165" i="15"/>
  <c r="A1165" i="15"/>
  <c r="B1164" i="15"/>
  <c r="A1164" i="15"/>
  <c r="B1163" i="15"/>
  <c r="A1163" i="15"/>
  <c r="B1162" i="15"/>
  <c r="A1162" i="15"/>
  <c r="B1161" i="15"/>
  <c r="A1161" i="15"/>
  <c r="B1160" i="15"/>
  <c r="A1160" i="15"/>
  <c r="B1159" i="15"/>
  <c r="A1159" i="15"/>
  <c r="B1158" i="15"/>
  <c r="A1158" i="15"/>
  <c r="B1157" i="15"/>
  <c r="A1157" i="15"/>
  <c r="B1156" i="15"/>
  <c r="A1156" i="15"/>
  <c r="B1155" i="15"/>
  <c r="A1155" i="15"/>
  <c r="B1154" i="15"/>
  <c r="A1154" i="15"/>
  <c r="B1153" i="15"/>
  <c r="A1153" i="15"/>
  <c r="B1152" i="15"/>
  <c r="A1152" i="15"/>
  <c r="B1151" i="15"/>
  <c r="A1151" i="15"/>
  <c r="B1150" i="15"/>
  <c r="A1150" i="15"/>
  <c r="B1149" i="15"/>
  <c r="A1149" i="15"/>
  <c r="B1148" i="15"/>
  <c r="A1148" i="15"/>
  <c r="B1147" i="15"/>
  <c r="A1147" i="15"/>
  <c r="B1146" i="15"/>
  <c r="A1146" i="15"/>
  <c r="B1145" i="15"/>
  <c r="A1145" i="15"/>
  <c r="B1144" i="15"/>
  <c r="A1144" i="15"/>
  <c r="B1143" i="15"/>
  <c r="A1143" i="15"/>
  <c r="B1142" i="15"/>
  <c r="A1142" i="15"/>
  <c r="B1141" i="15"/>
  <c r="A1141" i="15"/>
  <c r="B1140" i="15"/>
  <c r="A1140" i="15"/>
  <c r="B1139" i="15"/>
  <c r="A1139" i="15"/>
  <c r="B1138" i="15"/>
  <c r="A1138" i="15"/>
  <c r="B1137" i="15"/>
  <c r="A1137" i="15"/>
  <c r="B1136" i="15"/>
  <c r="A1136" i="15"/>
  <c r="B1135" i="15"/>
  <c r="A1135" i="15"/>
  <c r="B1134" i="15"/>
  <c r="A1134" i="15"/>
  <c r="B1133" i="15"/>
  <c r="A1133" i="15"/>
  <c r="B1132" i="15"/>
  <c r="A1132" i="15"/>
  <c r="B1131" i="15"/>
  <c r="A1131" i="15"/>
  <c r="B1130" i="15"/>
  <c r="A1130" i="15"/>
  <c r="B1129" i="15"/>
  <c r="A1129" i="15"/>
  <c r="B1128" i="15"/>
  <c r="A1128" i="15"/>
  <c r="B1127" i="15"/>
  <c r="A1127" i="15"/>
  <c r="B1126" i="15"/>
  <c r="A1126" i="15"/>
  <c r="B1125" i="15"/>
  <c r="A1125" i="15"/>
  <c r="B1124" i="15"/>
  <c r="A1124" i="15"/>
  <c r="B1123" i="15"/>
  <c r="A1123" i="15"/>
  <c r="B1122" i="15"/>
  <c r="A1122" i="15"/>
  <c r="B1121" i="15"/>
  <c r="A1121" i="15"/>
  <c r="B1120" i="15"/>
  <c r="A1120" i="15"/>
  <c r="B1119" i="15"/>
  <c r="A1119" i="15"/>
  <c r="B1118" i="15"/>
  <c r="A1118" i="15"/>
  <c r="B1117" i="15"/>
  <c r="A1117" i="15"/>
  <c r="B1116" i="15"/>
  <c r="A1116" i="15"/>
  <c r="B1115" i="15"/>
  <c r="A1115" i="15"/>
  <c r="B1114" i="15"/>
  <c r="A1114" i="15"/>
  <c r="B1113" i="15"/>
  <c r="A1113" i="15"/>
  <c r="B1112" i="15"/>
  <c r="A1112" i="15"/>
  <c r="B1111" i="15"/>
  <c r="A1111" i="15"/>
  <c r="B1110" i="15"/>
  <c r="A1110" i="15"/>
  <c r="B1109" i="15"/>
  <c r="A1109" i="15"/>
  <c r="B1108" i="15"/>
  <c r="A1108" i="15"/>
  <c r="B1107" i="15"/>
  <c r="A1107" i="15"/>
  <c r="B1106" i="15"/>
  <c r="A1106" i="15"/>
  <c r="B1105" i="15"/>
  <c r="A1105" i="15"/>
  <c r="B1104" i="15"/>
  <c r="A1104" i="15"/>
  <c r="B1103" i="15"/>
  <c r="A1103" i="15"/>
  <c r="B1102" i="15"/>
  <c r="A1102" i="15"/>
  <c r="B1101" i="15"/>
  <c r="A1101" i="15"/>
  <c r="B1100" i="15"/>
  <c r="A1100" i="15"/>
  <c r="B1099" i="15"/>
  <c r="A1099" i="15"/>
  <c r="B1098" i="15"/>
  <c r="A1098" i="15"/>
  <c r="B1097" i="15"/>
  <c r="A1097" i="15"/>
  <c r="B1096" i="15"/>
  <c r="A1096" i="15"/>
  <c r="B1095" i="15"/>
  <c r="A1095" i="15"/>
  <c r="B1094" i="15"/>
  <c r="A1094" i="15"/>
  <c r="B1093" i="15"/>
  <c r="A1093" i="15"/>
  <c r="B1092" i="15"/>
  <c r="A1092" i="15"/>
  <c r="B1091" i="15"/>
  <c r="A1091" i="15"/>
  <c r="B1090" i="15"/>
  <c r="A1090" i="15"/>
  <c r="B1089" i="15"/>
  <c r="A1089" i="15"/>
  <c r="B1088" i="15"/>
  <c r="A1088" i="15"/>
  <c r="B1087" i="15"/>
  <c r="A1087" i="15"/>
  <c r="B1086" i="15"/>
  <c r="A1086" i="15"/>
  <c r="B1085" i="15"/>
  <c r="A1085" i="15"/>
  <c r="B1084" i="15"/>
  <c r="A1084" i="15"/>
  <c r="B1083" i="15"/>
  <c r="A1083" i="15"/>
  <c r="B1082" i="15"/>
  <c r="A1082" i="15"/>
  <c r="B1081" i="15"/>
  <c r="A1081" i="15"/>
  <c r="B1080" i="15"/>
  <c r="A1080" i="15"/>
  <c r="B1079" i="15"/>
  <c r="A1079" i="15"/>
  <c r="B1078" i="15"/>
  <c r="A1078" i="15"/>
  <c r="B1077" i="15"/>
  <c r="A1077" i="15"/>
  <c r="B1076" i="15"/>
  <c r="A1076" i="15"/>
  <c r="B1075" i="15"/>
  <c r="A1075" i="15"/>
  <c r="B1074" i="15"/>
  <c r="A1074" i="15"/>
  <c r="B1073" i="15"/>
  <c r="A1073" i="15"/>
  <c r="B1072" i="15"/>
  <c r="A1072" i="15"/>
  <c r="B1071" i="15"/>
  <c r="A1071" i="15"/>
  <c r="B1070" i="15"/>
  <c r="A1070" i="15"/>
  <c r="B1069" i="15"/>
  <c r="A1069" i="15"/>
  <c r="B1068" i="15"/>
  <c r="A1068" i="15"/>
  <c r="B1067" i="15"/>
  <c r="A1067" i="15"/>
  <c r="B1066" i="15"/>
  <c r="A1066" i="15"/>
  <c r="B1065" i="15"/>
  <c r="A1065" i="15"/>
  <c r="B1064" i="15"/>
  <c r="A1064" i="15"/>
  <c r="B1063" i="15"/>
  <c r="A1063" i="15"/>
  <c r="B1062" i="15"/>
  <c r="A1062" i="15"/>
  <c r="B1061" i="15"/>
  <c r="A1061" i="15"/>
  <c r="B1060" i="15"/>
  <c r="A1060" i="15"/>
  <c r="B1059" i="15"/>
  <c r="A1059" i="15"/>
  <c r="B1058" i="15"/>
  <c r="A1058" i="15"/>
  <c r="B1057" i="15"/>
  <c r="A1057" i="15"/>
  <c r="B1056" i="15"/>
  <c r="A1056" i="15"/>
  <c r="B1055" i="15"/>
  <c r="A1055" i="15"/>
  <c r="B1054" i="15"/>
  <c r="A1054" i="15"/>
  <c r="B1053" i="15"/>
  <c r="A1053" i="15"/>
  <c r="B1052" i="15"/>
  <c r="A1052" i="15"/>
  <c r="B1051" i="15"/>
  <c r="A1051" i="15"/>
  <c r="B1050" i="15"/>
  <c r="A1050" i="15"/>
  <c r="B1049" i="15"/>
  <c r="A1049" i="15"/>
  <c r="B1048" i="15"/>
  <c r="A1048" i="15"/>
  <c r="B1047" i="15"/>
  <c r="A1047" i="15"/>
  <c r="B1046" i="15"/>
  <c r="A1046" i="15"/>
  <c r="B1045" i="15"/>
  <c r="A1045" i="15"/>
  <c r="B1044" i="15"/>
  <c r="A1044" i="15"/>
  <c r="B1043" i="15"/>
  <c r="A1043" i="15"/>
  <c r="B1042" i="15"/>
  <c r="A1042" i="15"/>
  <c r="B1041" i="15"/>
  <c r="A1041" i="15"/>
  <c r="B1040" i="15"/>
  <c r="A1040" i="15"/>
  <c r="B1039" i="15"/>
  <c r="A1039" i="15"/>
  <c r="B1038" i="15"/>
  <c r="A1038" i="15"/>
  <c r="B1037" i="15"/>
  <c r="A1037" i="15"/>
  <c r="B1036" i="15"/>
  <c r="A1036" i="15"/>
  <c r="B1035" i="15"/>
  <c r="A1035" i="15"/>
  <c r="B1034" i="15"/>
  <c r="A1034" i="15"/>
  <c r="B1033" i="15"/>
  <c r="A1033" i="15"/>
  <c r="B1032" i="15"/>
  <c r="A1032" i="15"/>
  <c r="B1031" i="15"/>
  <c r="A1031" i="15"/>
  <c r="B1030" i="15"/>
  <c r="A1030" i="15"/>
  <c r="B1029" i="15"/>
  <c r="A1029" i="15"/>
  <c r="B1028" i="15"/>
  <c r="A1028" i="15"/>
  <c r="B1027" i="15"/>
  <c r="A1027" i="15"/>
  <c r="B1026" i="15"/>
  <c r="A1026" i="15"/>
  <c r="B1025" i="15"/>
  <c r="A1025" i="15"/>
  <c r="B1024" i="15"/>
  <c r="A1024" i="15"/>
  <c r="B1023" i="15"/>
  <c r="A1023" i="15"/>
  <c r="B1022" i="15"/>
  <c r="A1022" i="15"/>
  <c r="B1021" i="15"/>
  <c r="A1021" i="15"/>
  <c r="B1020" i="15"/>
  <c r="A1020" i="15"/>
  <c r="B1019" i="15"/>
  <c r="A1019" i="15"/>
  <c r="B1018" i="15"/>
  <c r="A1018" i="15"/>
  <c r="B1017" i="15"/>
  <c r="A1017" i="15"/>
  <c r="B1016" i="15"/>
  <c r="A1016" i="15"/>
  <c r="B1015" i="15"/>
  <c r="A1015" i="15"/>
  <c r="B1014" i="15"/>
  <c r="A1014" i="15"/>
  <c r="B1013" i="15"/>
  <c r="A1013" i="15"/>
  <c r="B1012" i="15"/>
  <c r="A1012" i="15"/>
  <c r="B1011" i="15"/>
  <c r="A1011" i="15"/>
  <c r="B1010" i="15"/>
  <c r="A1010" i="15"/>
  <c r="B1009" i="15"/>
  <c r="A1009" i="15"/>
  <c r="B1008" i="15"/>
  <c r="A1008" i="15"/>
  <c r="B1007" i="15"/>
  <c r="A1007" i="15"/>
  <c r="B1006" i="15"/>
  <c r="A1006" i="15"/>
  <c r="B1005" i="15"/>
  <c r="A1005" i="15"/>
  <c r="B1004" i="15"/>
  <c r="A1004" i="15"/>
  <c r="B1003" i="15"/>
  <c r="A1003" i="15"/>
  <c r="B1002" i="15"/>
  <c r="A1002" i="15"/>
  <c r="B1001" i="15"/>
  <c r="A1001" i="15"/>
  <c r="B1000" i="15"/>
  <c r="A1000" i="15"/>
  <c r="B999" i="15"/>
  <c r="A999" i="15"/>
  <c r="B998" i="15"/>
  <c r="A998" i="15"/>
  <c r="B997" i="15"/>
  <c r="A997" i="15"/>
  <c r="B996" i="15"/>
  <c r="A996" i="15"/>
  <c r="B995" i="15"/>
  <c r="A995" i="15"/>
  <c r="B994" i="15"/>
  <c r="A994" i="15"/>
  <c r="B993" i="15"/>
  <c r="A993" i="15"/>
  <c r="B992" i="15"/>
  <c r="A992" i="15"/>
  <c r="B991" i="15"/>
  <c r="A991" i="15"/>
  <c r="B990" i="15"/>
  <c r="A990" i="15"/>
  <c r="B989" i="15"/>
  <c r="A989" i="15"/>
  <c r="B988" i="15"/>
  <c r="A988" i="15"/>
  <c r="B987" i="15"/>
  <c r="A987" i="15"/>
  <c r="B986" i="15"/>
  <c r="A986" i="15"/>
  <c r="B985" i="15"/>
  <c r="A985" i="15"/>
  <c r="B984" i="15"/>
  <c r="A984" i="15"/>
  <c r="B983" i="15"/>
  <c r="A983" i="15"/>
  <c r="B982" i="15"/>
  <c r="A982" i="15"/>
  <c r="B981" i="15"/>
  <c r="A981" i="15"/>
  <c r="B980" i="15"/>
  <c r="A980" i="15"/>
  <c r="B979" i="15"/>
  <c r="A979" i="15"/>
  <c r="B978" i="15"/>
  <c r="A978" i="15"/>
  <c r="B977" i="15"/>
  <c r="A977" i="15"/>
  <c r="B976" i="15"/>
  <c r="A976" i="15"/>
  <c r="B975" i="15"/>
  <c r="A975" i="15"/>
  <c r="B974" i="15"/>
  <c r="A974" i="15"/>
  <c r="B973" i="15"/>
  <c r="A973" i="15"/>
  <c r="B972" i="15"/>
  <c r="A972" i="15"/>
  <c r="B971" i="15"/>
  <c r="A971" i="15"/>
  <c r="B970" i="15"/>
  <c r="A970" i="15"/>
  <c r="B969" i="15"/>
  <c r="A969" i="15"/>
  <c r="B968" i="15"/>
  <c r="A968" i="15"/>
  <c r="B967" i="15"/>
  <c r="A967" i="15"/>
  <c r="B966" i="15"/>
  <c r="A966" i="15"/>
  <c r="B965" i="15"/>
  <c r="A965" i="15"/>
  <c r="B964" i="15"/>
  <c r="A964" i="15"/>
  <c r="B963" i="15"/>
  <c r="A963" i="15"/>
  <c r="B962" i="15"/>
  <c r="A962" i="15"/>
  <c r="B961" i="15"/>
  <c r="A961" i="15"/>
  <c r="B960" i="15"/>
  <c r="A960" i="15"/>
  <c r="B959" i="15"/>
  <c r="A959" i="15"/>
  <c r="B958" i="15"/>
  <c r="A958" i="15"/>
  <c r="B957" i="15"/>
  <c r="A957" i="15"/>
  <c r="B956" i="15"/>
  <c r="A956" i="15"/>
  <c r="B955" i="15"/>
  <c r="A955" i="15"/>
  <c r="B954" i="15"/>
  <c r="A954" i="15"/>
  <c r="B953" i="15"/>
  <c r="A953" i="15"/>
  <c r="B952" i="15"/>
  <c r="A952" i="15"/>
  <c r="B951" i="15"/>
  <c r="A951" i="15"/>
  <c r="B950" i="15"/>
  <c r="A950" i="15"/>
  <c r="B949" i="15"/>
  <c r="A949" i="15"/>
  <c r="B948" i="15"/>
  <c r="A948" i="15"/>
  <c r="B947" i="15"/>
  <c r="A947" i="15"/>
  <c r="B946" i="15"/>
  <c r="A946" i="15"/>
  <c r="B945" i="15"/>
  <c r="A945" i="15"/>
  <c r="B944" i="15"/>
  <c r="A944" i="15"/>
  <c r="B943" i="15"/>
  <c r="A943" i="15"/>
  <c r="B942" i="15"/>
  <c r="A942" i="15"/>
  <c r="B941" i="15"/>
  <c r="A941" i="15"/>
  <c r="B940" i="15"/>
  <c r="A940" i="15"/>
  <c r="B939" i="15"/>
  <c r="A939" i="15"/>
  <c r="B938" i="15"/>
  <c r="A938" i="15"/>
  <c r="B937" i="15"/>
  <c r="A937" i="15"/>
  <c r="B936" i="15"/>
  <c r="A936" i="15"/>
  <c r="B935" i="15"/>
  <c r="A935" i="15"/>
  <c r="B934" i="15"/>
  <c r="A934" i="15"/>
  <c r="B933" i="15"/>
  <c r="A933" i="15"/>
  <c r="B932" i="15"/>
  <c r="A932" i="15"/>
  <c r="B931" i="15"/>
  <c r="A931" i="15"/>
  <c r="B930" i="15"/>
  <c r="A930" i="15"/>
  <c r="B929" i="15"/>
  <c r="A929" i="15"/>
  <c r="B928" i="15"/>
  <c r="A928" i="15"/>
  <c r="B927" i="15"/>
  <c r="A927" i="15"/>
  <c r="B926" i="15"/>
  <c r="A926" i="15"/>
  <c r="B925" i="15"/>
  <c r="A925" i="15"/>
  <c r="B924" i="15"/>
  <c r="A924" i="15"/>
  <c r="B923" i="15"/>
  <c r="A923" i="15"/>
  <c r="B922" i="15"/>
  <c r="A922" i="15"/>
  <c r="B921" i="15"/>
  <c r="A921" i="15"/>
  <c r="B920" i="15"/>
  <c r="A920" i="15"/>
  <c r="B919" i="15"/>
  <c r="A919" i="15"/>
  <c r="B918" i="15"/>
  <c r="A918" i="15"/>
  <c r="B917" i="15"/>
  <c r="A917" i="15"/>
  <c r="B916" i="15"/>
  <c r="A916" i="15"/>
  <c r="B915" i="15"/>
  <c r="A915" i="15"/>
  <c r="B914" i="15"/>
  <c r="A914" i="15"/>
  <c r="B913" i="15"/>
  <c r="A913" i="15"/>
  <c r="B912" i="15"/>
  <c r="A912" i="15"/>
  <c r="B911" i="15"/>
  <c r="A911" i="15"/>
  <c r="B910" i="15"/>
  <c r="A910" i="15"/>
  <c r="B909" i="15"/>
  <c r="A909" i="15"/>
  <c r="B908" i="15"/>
  <c r="A908" i="15"/>
  <c r="B907" i="15"/>
  <c r="A907" i="15"/>
  <c r="B906" i="15"/>
  <c r="A906" i="15"/>
  <c r="B905" i="15"/>
  <c r="A905" i="15"/>
  <c r="B904" i="15"/>
  <c r="A904" i="15"/>
  <c r="B903" i="15"/>
  <c r="A903" i="15"/>
  <c r="B902" i="15"/>
  <c r="A902" i="15"/>
  <c r="B901" i="15"/>
  <c r="A901" i="15"/>
  <c r="B900" i="15"/>
  <c r="A900" i="15"/>
  <c r="B899" i="15"/>
  <c r="A899" i="15"/>
  <c r="B898" i="15"/>
  <c r="A898" i="15"/>
  <c r="B897" i="15"/>
  <c r="A897" i="15"/>
  <c r="B896" i="15"/>
  <c r="A896" i="15"/>
  <c r="B895" i="15"/>
  <c r="A895" i="15"/>
  <c r="B894" i="15"/>
  <c r="A894" i="15"/>
  <c r="B893" i="15"/>
  <c r="A893" i="15"/>
  <c r="B892" i="15"/>
  <c r="A892" i="15"/>
  <c r="B891" i="15"/>
  <c r="A891" i="15"/>
  <c r="B890" i="15"/>
  <c r="A890" i="15"/>
  <c r="B889" i="15"/>
  <c r="A889" i="15"/>
  <c r="B888" i="15"/>
  <c r="A888" i="15"/>
  <c r="B887" i="15"/>
  <c r="A887" i="15"/>
  <c r="B886" i="15"/>
  <c r="A886" i="15"/>
  <c r="B885" i="15"/>
  <c r="A885" i="15"/>
  <c r="B884" i="15"/>
  <c r="A884" i="15"/>
  <c r="B883" i="15"/>
  <c r="A883" i="15"/>
  <c r="B882" i="15"/>
  <c r="A882" i="15"/>
  <c r="B881" i="15"/>
  <c r="A881" i="15"/>
  <c r="B880" i="15"/>
  <c r="A880" i="15"/>
  <c r="B879" i="15"/>
  <c r="A879" i="15"/>
  <c r="B878" i="15"/>
  <c r="A878" i="15"/>
  <c r="B877" i="15"/>
  <c r="A877" i="15"/>
  <c r="B876" i="15"/>
  <c r="A876" i="15"/>
  <c r="B875" i="15"/>
  <c r="A875" i="15"/>
  <c r="B874" i="15"/>
  <c r="A874" i="15"/>
  <c r="B873" i="15"/>
  <c r="A873" i="15"/>
  <c r="B872" i="15"/>
  <c r="A872" i="15"/>
  <c r="B871" i="15"/>
  <c r="A871" i="15"/>
  <c r="B870" i="15"/>
  <c r="A870" i="15"/>
  <c r="B869" i="15"/>
  <c r="A869" i="15"/>
  <c r="B868" i="15"/>
  <c r="A868" i="15"/>
  <c r="B867" i="15"/>
  <c r="A867" i="15"/>
  <c r="B866" i="15"/>
  <c r="A866" i="15"/>
  <c r="B865" i="15"/>
  <c r="A865" i="15"/>
  <c r="B864" i="15"/>
  <c r="A864" i="15"/>
  <c r="B863" i="15"/>
  <c r="A863" i="15"/>
  <c r="B862" i="15"/>
  <c r="A862" i="15"/>
  <c r="B861" i="15"/>
  <c r="A861" i="15"/>
  <c r="B860" i="15"/>
  <c r="A860" i="15"/>
  <c r="B859" i="15"/>
  <c r="A859" i="15"/>
  <c r="B858" i="15"/>
  <c r="A858" i="15"/>
  <c r="B857" i="15"/>
  <c r="A857" i="15"/>
  <c r="B856" i="15"/>
  <c r="A856" i="15"/>
  <c r="B855" i="15"/>
  <c r="A855" i="15"/>
  <c r="B854" i="15"/>
  <c r="A854" i="15"/>
  <c r="B853" i="15"/>
  <c r="A853" i="15"/>
  <c r="B852" i="15"/>
  <c r="A852" i="15"/>
  <c r="B851" i="15"/>
  <c r="A851" i="15"/>
  <c r="B850" i="15"/>
  <c r="A850" i="15"/>
  <c r="B849" i="15"/>
  <c r="A849" i="15"/>
  <c r="B848" i="15"/>
  <c r="A848" i="15"/>
  <c r="B847" i="15"/>
  <c r="A847" i="15"/>
  <c r="B846" i="15"/>
  <c r="A846" i="15"/>
  <c r="B845" i="15"/>
  <c r="A845" i="15"/>
  <c r="B844" i="15"/>
  <c r="A844" i="15"/>
  <c r="B843" i="15"/>
  <c r="A843" i="15"/>
  <c r="B842" i="15"/>
  <c r="A842" i="15"/>
  <c r="B841" i="15"/>
  <c r="A841" i="15"/>
  <c r="B840" i="15"/>
  <c r="A840" i="15"/>
  <c r="B839" i="15"/>
  <c r="A839" i="15"/>
  <c r="B838" i="15"/>
  <c r="A838" i="15"/>
  <c r="B837" i="15"/>
  <c r="A837" i="15"/>
  <c r="B836" i="15"/>
  <c r="A836" i="15"/>
  <c r="B835" i="15"/>
  <c r="A835" i="15"/>
  <c r="B834" i="15"/>
  <c r="A834" i="15"/>
  <c r="B833" i="15"/>
  <c r="A833" i="15"/>
  <c r="B832" i="15"/>
  <c r="A832" i="15"/>
  <c r="B831" i="15"/>
  <c r="A831" i="15"/>
  <c r="B830" i="15"/>
  <c r="A830" i="15"/>
  <c r="B829" i="15"/>
  <c r="A829" i="15"/>
  <c r="B828" i="15"/>
  <c r="A828" i="15"/>
  <c r="B827" i="15"/>
  <c r="A827" i="15"/>
  <c r="B826" i="15"/>
  <c r="A826" i="15"/>
  <c r="B825" i="15"/>
  <c r="A825" i="15"/>
  <c r="B824" i="15"/>
  <c r="A824" i="15"/>
  <c r="B823" i="15"/>
  <c r="A823" i="15"/>
  <c r="B822" i="15"/>
  <c r="A822" i="15"/>
  <c r="B821" i="15"/>
  <c r="A821" i="15"/>
  <c r="B820" i="15"/>
  <c r="A820" i="15"/>
  <c r="B819" i="15"/>
  <c r="A819" i="15"/>
  <c r="B818" i="15"/>
  <c r="A818" i="15"/>
  <c r="B817" i="15"/>
  <c r="A817" i="15"/>
  <c r="B816" i="15"/>
  <c r="A816" i="15"/>
  <c r="B815" i="15"/>
  <c r="A815" i="15"/>
  <c r="B814" i="15"/>
  <c r="A814" i="15"/>
  <c r="B813" i="15"/>
  <c r="A813" i="15"/>
  <c r="B812" i="15"/>
  <c r="A812" i="15"/>
  <c r="B811" i="15"/>
  <c r="A811" i="15"/>
  <c r="B810" i="15"/>
  <c r="A810" i="15"/>
  <c r="B809" i="15"/>
  <c r="A809" i="15"/>
  <c r="B808" i="15"/>
  <c r="A808" i="15"/>
  <c r="B807" i="15"/>
  <c r="A807" i="15"/>
  <c r="B806" i="15"/>
  <c r="A806" i="15"/>
  <c r="B805" i="15"/>
  <c r="A805" i="15"/>
  <c r="B804" i="15"/>
  <c r="A804" i="15"/>
  <c r="B803" i="15"/>
  <c r="A803" i="15"/>
  <c r="B802" i="15"/>
  <c r="A802" i="15"/>
  <c r="B801" i="15"/>
  <c r="A801" i="15"/>
  <c r="B800" i="15"/>
  <c r="A800" i="15"/>
  <c r="B799" i="15"/>
  <c r="A799" i="15"/>
  <c r="B798" i="15"/>
  <c r="A798" i="15"/>
  <c r="B797" i="15"/>
  <c r="A797" i="15"/>
  <c r="B796" i="15"/>
  <c r="A796" i="15"/>
  <c r="B795" i="15"/>
  <c r="A795" i="15"/>
  <c r="B794" i="15"/>
  <c r="A794" i="15"/>
  <c r="B793" i="15"/>
  <c r="A793" i="15"/>
  <c r="B792" i="15"/>
  <c r="A792" i="15"/>
  <c r="B791" i="15"/>
  <c r="A791" i="15"/>
  <c r="B790" i="15"/>
  <c r="A790" i="15"/>
  <c r="B789" i="15"/>
  <c r="A789" i="15"/>
  <c r="B788" i="15"/>
  <c r="A788" i="15"/>
  <c r="B787" i="15"/>
  <c r="A787" i="15"/>
  <c r="B786" i="15"/>
  <c r="A786" i="15"/>
  <c r="B785" i="15"/>
  <c r="A785" i="15"/>
  <c r="B784" i="15"/>
  <c r="A784" i="15"/>
  <c r="B783" i="15"/>
  <c r="A783" i="15"/>
  <c r="B782" i="15"/>
  <c r="A782" i="15"/>
  <c r="B781" i="15"/>
  <c r="A781" i="15"/>
  <c r="B780" i="15"/>
  <c r="A780" i="15"/>
  <c r="B779" i="15"/>
  <c r="A779" i="15"/>
  <c r="B778" i="15"/>
  <c r="A778" i="15"/>
  <c r="B777" i="15"/>
  <c r="A777" i="15"/>
  <c r="B776" i="15"/>
  <c r="A776" i="15"/>
  <c r="B775" i="15"/>
  <c r="A775" i="15"/>
  <c r="B774" i="15"/>
  <c r="A774" i="15"/>
  <c r="B773" i="15"/>
  <c r="A773" i="15"/>
  <c r="B772" i="15"/>
  <c r="A772" i="15"/>
  <c r="B771" i="15"/>
  <c r="A771" i="15"/>
  <c r="B770" i="15"/>
  <c r="A770" i="15"/>
  <c r="B769" i="15"/>
  <c r="A769" i="15"/>
  <c r="B768" i="15"/>
  <c r="A768" i="15"/>
  <c r="B767" i="15"/>
  <c r="A767" i="15"/>
  <c r="B766" i="15"/>
  <c r="A766" i="15"/>
  <c r="B765" i="15"/>
  <c r="A765" i="15"/>
  <c r="B764" i="15"/>
  <c r="A764" i="15"/>
  <c r="B763" i="15"/>
  <c r="A763" i="15"/>
  <c r="B762" i="15"/>
  <c r="A762" i="15"/>
  <c r="B761" i="15"/>
  <c r="A761" i="15"/>
  <c r="B760" i="15"/>
  <c r="A760" i="15"/>
  <c r="B759" i="15"/>
  <c r="A759" i="15"/>
  <c r="B758" i="15"/>
  <c r="A758" i="15"/>
  <c r="B757" i="15"/>
  <c r="A757" i="15"/>
  <c r="B756" i="15"/>
  <c r="A756" i="15"/>
  <c r="B755" i="15"/>
  <c r="A755" i="15"/>
  <c r="B754" i="15"/>
  <c r="A754" i="15"/>
  <c r="B753" i="15"/>
  <c r="A753" i="15"/>
  <c r="B752" i="15"/>
  <c r="A752" i="15"/>
  <c r="B751" i="15"/>
  <c r="A751" i="15"/>
  <c r="B750" i="15"/>
  <c r="A750" i="15"/>
  <c r="B749" i="15"/>
  <c r="A749" i="15"/>
  <c r="B748" i="15"/>
  <c r="A748" i="15"/>
  <c r="B747" i="15"/>
  <c r="A747" i="15"/>
  <c r="B746" i="15"/>
  <c r="A746" i="15"/>
  <c r="B745" i="15"/>
  <c r="A745" i="15"/>
  <c r="B744" i="15"/>
  <c r="A744" i="15"/>
  <c r="B743" i="15"/>
  <c r="A743" i="15"/>
  <c r="B742" i="15"/>
  <c r="A742" i="15"/>
  <c r="B741" i="15"/>
  <c r="A741" i="15"/>
  <c r="B740" i="15"/>
  <c r="A740" i="15"/>
  <c r="B739" i="15"/>
  <c r="A739" i="15"/>
  <c r="B738" i="15"/>
  <c r="A738" i="15"/>
  <c r="B737" i="15"/>
  <c r="A737" i="15"/>
  <c r="B736" i="15"/>
  <c r="A736" i="15"/>
  <c r="B735" i="15"/>
  <c r="A735" i="15"/>
  <c r="B734" i="15"/>
  <c r="A734" i="15"/>
  <c r="B733" i="15"/>
  <c r="A733" i="15"/>
  <c r="B732" i="15"/>
  <c r="A732" i="15"/>
  <c r="B731" i="15"/>
  <c r="A731" i="15"/>
  <c r="B730" i="15"/>
  <c r="A730" i="15"/>
  <c r="B729" i="15"/>
  <c r="A729" i="15"/>
  <c r="B728" i="15"/>
  <c r="A728" i="15"/>
  <c r="B727" i="15"/>
  <c r="A727" i="15"/>
  <c r="B726" i="15"/>
  <c r="A726" i="15"/>
  <c r="B725" i="15"/>
  <c r="A725" i="15"/>
  <c r="B724" i="15"/>
  <c r="A724" i="15"/>
  <c r="B723" i="15"/>
  <c r="A723" i="15"/>
  <c r="B722" i="15"/>
  <c r="A722" i="15"/>
  <c r="B721" i="15"/>
  <c r="A721" i="15"/>
  <c r="B720" i="15"/>
  <c r="A720" i="15"/>
  <c r="B719" i="15"/>
  <c r="A719" i="15"/>
  <c r="B718" i="15"/>
  <c r="A718" i="15"/>
  <c r="B717" i="15"/>
  <c r="A717" i="15"/>
  <c r="B716" i="15"/>
  <c r="A716" i="15"/>
  <c r="B715" i="15"/>
  <c r="A715" i="15"/>
  <c r="B714" i="15"/>
  <c r="A714" i="15"/>
  <c r="B713" i="15"/>
  <c r="A713" i="15"/>
  <c r="B712" i="15"/>
  <c r="A712" i="15"/>
  <c r="B711" i="15"/>
  <c r="A711" i="15"/>
  <c r="B710" i="15"/>
  <c r="A710" i="15"/>
  <c r="B709" i="15"/>
  <c r="A709" i="15"/>
  <c r="B708" i="15"/>
  <c r="A708" i="15"/>
  <c r="B707" i="15"/>
  <c r="A707" i="15"/>
  <c r="B706" i="15"/>
  <c r="A706" i="15"/>
  <c r="B705" i="15"/>
  <c r="A705" i="15"/>
  <c r="B704" i="15"/>
  <c r="A704" i="15"/>
  <c r="B703" i="15"/>
  <c r="A703" i="15"/>
  <c r="B702" i="15"/>
  <c r="A702" i="15"/>
  <c r="B701" i="15"/>
  <c r="A701" i="15"/>
  <c r="B700" i="15"/>
  <c r="A700" i="15"/>
  <c r="B699" i="15"/>
  <c r="A699" i="15"/>
  <c r="B698" i="15"/>
  <c r="A698" i="15"/>
  <c r="B697" i="15"/>
  <c r="A697" i="15"/>
  <c r="B696" i="15"/>
  <c r="A696" i="15"/>
  <c r="B695" i="15"/>
  <c r="A695" i="15"/>
  <c r="B694" i="15"/>
  <c r="A694" i="15"/>
  <c r="B693" i="15"/>
  <c r="A693" i="15"/>
  <c r="B692" i="15"/>
  <c r="A692" i="15"/>
  <c r="B691" i="15"/>
  <c r="A691" i="15"/>
  <c r="B690" i="15"/>
  <c r="A690" i="15"/>
  <c r="B689" i="15"/>
  <c r="A689" i="15"/>
  <c r="B688" i="15"/>
  <c r="A688" i="15"/>
  <c r="B687" i="15"/>
  <c r="A687" i="15"/>
  <c r="B686" i="15"/>
  <c r="A686" i="15"/>
  <c r="B685" i="15"/>
  <c r="A685" i="15"/>
  <c r="B684" i="15"/>
  <c r="A684" i="15"/>
  <c r="B683" i="15"/>
  <c r="A683" i="15"/>
  <c r="B682" i="15"/>
  <c r="A682" i="15"/>
  <c r="B681" i="15"/>
  <c r="A681" i="15"/>
  <c r="B680" i="15"/>
  <c r="A680" i="15"/>
  <c r="B679" i="15"/>
  <c r="A679" i="15"/>
  <c r="B678" i="15"/>
  <c r="A678" i="15"/>
  <c r="B677" i="15"/>
  <c r="A677" i="15"/>
  <c r="B676" i="15"/>
  <c r="A676" i="15"/>
  <c r="B675" i="15"/>
  <c r="A675" i="15"/>
  <c r="B674" i="15"/>
  <c r="A674" i="15"/>
  <c r="B673" i="15"/>
  <c r="A673" i="15"/>
  <c r="B672" i="15"/>
  <c r="A672" i="15"/>
  <c r="B671" i="15"/>
  <c r="A671" i="15"/>
  <c r="B670" i="15"/>
  <c r="A670" i="15"/>
  <c r="B669" i="15"/>
  <c r="A669" i="15"/>
  <c r="B668" i="15"/>
  <c r="A668" i="15"/>
  <c r="B667" i="15"/>
  <c r="A667" i="15"/>
  <c r="B666" i="15"/>
  <c r="A666" i="15"/>
  <c r="B665" i="15"/>
  <c r="A665" i="15"/>
  <c r="B664" i="15"/>
  <c r="A664" i="15"/>
  <c r="B663" i="15"/>
  <c r="A663" i="15"/>
  <c r="B662" i="15"/>
  <c r="A662" i="15"/>
  <c r="B661" i="15"/>
  <c r="A661" i="15"/>
  <c r="B660" i="15"/>
  <c r="A660" i="15"/>
  <c r="B659" i="15"/>
  <c r="A659" i="15"/>
  <c r="B658" i="15"/>
  <c r="A658" i="15"/>
  <c r="B657" i="15"/>
  <c r="A657" i="15"/>
  <c r="B656" i="15"/>
  <c r="A656" i="15"/>
  <c r="B655" i="15"/>
  <c r="A655" i="15"/>
  <c r="B654" i="15"/>
  <c r="A654" i="15"/>
  <c r="B653" i="15"/>
  <c r="A653" i="15"/>
  <c r="B652" i="15"/>
  <c r="A652" i="15"/>
  <c r="B651" i="15"/>
  <c r="A651" i="15"/>
  <c r="B650" i="15"/>
  <c r="A650" i="15"/>
  <c r="B649" i="15"/>
  <c r="A649" i="15"/>
  <c r="B648" i="15"/>
  <c r="A648" i="15"/>
  <c r="B647" i="15"/>
  <c r="A647" i="15"/>
  <c r="B646" i="15"/>
  <c r="A646" i="15"/>
  <c r="B645" i="15"/>
  <c r="A645" i="15"/>
  <c r="B644" i="15"/>
  <c r="A644" i="15"/>
  <c r="B643" i="15"/>
  <c r="A643" i="15"/>
  <c r="B642" i="15"/>
  <c r="A642" i="15"/>
  <c r="B641" i="15"/>
  <c r="A641" i="15"/>
  <c r="B640" i="15"/>
  <c r="A640" i="15"/>
  <c r="B639" i="15"/>
  <c r="A639" i="15"/>
  <c r="B638" i="15"/>
  <c r="A638" i="15"/>
  <c r="B637" i="15"/>
  <c r="A637" i="15"/>
  <c r="B636" i="15"/>
  <c r="A636" i="15"/>
  <c r="B635" i="15"/>
  <c r="A635" i="15"/>
  <c r="B634" i="15"/>
  <c r="A634" i="15"/>
  <c r="B633" i="15"/>
  <c r="A633" i="15"/>
  <c r="B632" i="15"/>
  <c r="A632" i="15"/>
  <c r="B631" i="15"/>
  <c r="A631" i="15"/>
  <c r="B630" i="15"/>
  <c r="A630" i="15"/>
  <c r="B629" i="15"/>
  <c r="A629" i="15"/>
  <c r="B628" i="15"/>
  <c r="A628" i="15"/>
  <c r="B627" i="15"/>
  <c r="A627" i="15"/>
  <c r="B626" i="15"/>
  <c r="A626" i="15"/>
  <c r="B625" i="15"/>
  <c r="A625" i="15"/>
  <c r="B624" i="15"/>
  <c r="A624" i="15"/>
  <c r="B623" i="15"/>
  <c r="A623" i="15"/>
  <c r="B622" i="15"/>
  <c r="A622" i="15"/>
  <c r="B621" i="15"/>
  <c r="A621" i="15"/>
  <c r="B620" i="15"/>
  <c r="A620" i="15"/>
  <c r="B619" i="15"/>
  <c r="A619" i="15"/>
  <c r="B618" i="15"/>
  <c r="A618" i="15"/>
  <c r="B617" i="15"/>
  <c r="A617" i="15"/>
  <c r="B616" i="15"/>
  <c r="A616" i="15"/>
  <c r="B615" i="15"/>
  <c r="A615" i="15"/>
  <c r="B614" i="15"/>
  <c r="A614" i="15"/>
  <c r="B613" i="15"/>
  <c r="A613" i="15"/>
  <c r="B612" i="15"/>
  <c r="A612" i="15"/>
  <c r="B611" i="15"/>
  <c r="A611" i="15"/>
  <c r="B610" i="15"/>
  <c r="A610" i="15"/>
  <c r="B609" i="15"/>
  <c r="A609" i="15"/>
  <c r="B608" i="15"/>
  <c r="A608" i="15"/>
  <c r="B607" i="15"/>
  <c r="A607" i="15"/>
  <c r="B606" i="15"/>
  <c r="A606" i="15"/>
  <c r="B605" i="15"/>
  <c r="A605" i="15"/>
  <c r="B604" i="15"/>
  <c r="A604" i="15"/>
  <c r="B603" i="15"/>
  <c r="A603" i="15"/>
  <c r="B602" i="15"/>
  <c r="A602" i="15"/>
  <c r="B601" i="15"/>
  <c r="A601" i="15"/>
  <c r="B600" i="15"/>
  <c r="A600" i="15"/>
  <c r="B599" i="15"/>
  <c r="A599" i="15"/>
  <c r="B598" i="15"/>
  <c r="A598" i="15"/>
  <c r="B597" i="15"/>
  <c r="A597" i="15"/>
  <c r="B596" i="15"/>
  <c r="A596" i="15"/>
  <c r="B595" i="15"/>
  <c r="A595" i="15"/>
  <c r="B594" i="15"/>
  <c r="A594" i="15"/>
  <c r="B593" i="15"/>
  <c r="A593" i="15"/>
  <c r="B592" i="15"/>
  <c r="A592" i="15"/>
  <c r="B591" i="15"/>
  <c r="A591" i="15"/>
  <c r="B590" i="15"/>
  <c r="A590" i="15"/>
  <c r="B589" i="15"/>
  <c r="A589" i="15"/>
  <c r="B588" i="15"/>
  <c r="A588" i="15"/>
  <c r="B587" i="15"/>
  <c r="A587" i="15"/>
  <c r="B586" i="15"/>
  <c r="A586" i="15"/>
  <c r="B585" i="15"/>
  <c r="A585" i="15"/>
  <c r="B584" i="15"/>
  <c r="A584" i="15"/>
  <c r="B583" i="15"/>
  <c r="A583" i="15"/>
  <c r="B582" i="15"/>
  <c r="A582" i="15"/>
  <c r="B581" i="15"/>
  <c r="A581" i="15"/>
  <c r="B580" i="15"/>
  <c r="A580" i="15"/>
  <c r="B579" i="15"/>
  <c r="A579" i="15"/>
  <c r="B578" i="15"/>
  <c r="A578" i="15"/>
  <c r="B577" i="15"/>
  <c r="A577" i="15"/>
  <c r="B576" i="15"/>
  <c r="A576" i="15"/>
  <c r="B575" i="15"/>
  <c r="A575" i="15"/>
  <c r="B574" i="15"/>
  <c r="A574" i="15"/>
  <c r="B573" i="15"/>
  <c r="A573" i="15"/>
  <c r="B572" i="15"/>
  <c r="A572" i="15"/>
  <c r="B571" i="15"/>
  <c r="A571" i="15"/>
  <c r="B570" i="15"/>
  <c r="A570" i="15"/>
  <c r="B569" i="15"/>
  <c r="A569" i="15"/>
  <c r="B568" i="15"/>
  <c r="A568" i="15"/>
  <c r="B567" i="15"/>
  <c r="A567" i="15"/>
  <c r="B566" i="15"/>
  <c r="A566" i="15"/>
  <c r="B565" i="15"/>
  <c r="A565" i="15"/>
  <c r="B564" i="15"/>
  <c r="A564" i="15"/>
  <c r="B563" i="15"/>
  <c r="A563" i="15"/>
  <c r="B562" i="15"/>
  <c r="A562" i="15"/>
  <c r="B561" i="15"/>
  <c r="A561" i="15"/>
  <c r="B560" i="15"/>
  <c r="A560" i="15"/>
  <c r="B559" i="15"/>
  <c r="A559" i="15"/>
  <c r="B558" i="15"/>
  <c r="A558" i="15"/>
  <c r="B557" i="15"/>
  <c r="A557" i="15"/>
  <c r="B556" i="15"/>
  <c r="A556" i="15"/>
  <c r="B555" i="15"/>
  <c r="A555" i="15"/>
  <c r="B554" i="15"/>
  <c r="A554" i="15"/>
  <c r="B553" i="15"/>
  <c r="A553" i="15"/>
  <c r="B552" i="15"/>
  <c r="A552" i="15"/>
  <c r="B551" i="15"/>
  <c r="A551" i="15"/>
  <c r="B550" i="15"/>
  <c r="A550" i="15"/>
  <c r="B549" i="15"/>
  <c r="A549" i="15"/>
  <c r="B548" i="15"/>
  <c r="A548" i="15"/>
  <c r="B547" i="15"/>
  <c r="A547" i="15"/>
  <c r="B546" i="15"/>
  <c r="A546" i="15"/>
  <c r="B545" i="15"/>
  <c r="A545" i="15"/>
  <c r="B544" i="15"/>
  <c r="A544" i="15"/>
  <c r="B543" i="15"/>
  <c r="A543" i="15"/>
  <c r="B542" i="15"/>
  <c r="A542" i="15"/>
  <c r="B541" i="15"/>
  <c r="A541" i="15"/>
  <c r="B540" i="15"/>
  <c r="A540" i="15"/>
  <c r="B539" i="15"/>
  <c r="A539" i="15"/>
  <c r="B538" i="15"/>
  <c r="A538" i="15"/>
  <c r="B537" i="15"/>
  <c r="A537" i="15"/>
  <c r="B536" i="15"/>
  <c r="A536" i="15"/>
  <c r="B535" i="15"/>
  <c r="A535" i="15"/>
  <c r="B534" i="15"/>
  <c r="A534" i="15"/>
  <c r="B533" i="15"/>
  <c r="A533" i="15"/>
  <c r="B532" i="15"/>
  <c r="A532" i="15"/>
  <c r="B531" i="15"/>
  <c r="A531" i="15"/>
  <c r="B530" i="15"/>
  <c r="A530" i="15"/>
  <c r="B529" i="15"/>
  <c r="A529" i="15"/>
  <c r="B528" i="15"/>
  <c r="A528" i="15"/>
  <c r="B527" i="15"/>
  <c r="A527" i="15"/>
  <c r="B526" i="15"/>
  <c r="A526" i="15"/>
  <c r="B525" i="15"/>
  <c r="A525" i="15"/>
  <c r="B524" i="15"/>
  <c r="A524" i="15"/>
  <c r="B523" i="15"/>
  <c r="A523" i="15"/>
  <c r="B522" i="15"/>
  <c r="A522" i="15"/>
  <c r="B521" i="15"/>
  <c r="A521" i="15"/>
  <c r="B520" i="15"/>
  <c r="A520" i="15"/>
  <c r="B519" i="15"/>
  <c r="A519" i="15"/>
  <c r="B518" i="15"/>
  <c r="A518" i="15"/>
  <c r="B517" i="15"/>
  <c r="A517" i="15"/>
  <c r="B516" i="15"/>
  <c r="A516" i="15"/>
  <c r="B515" i="15"/>
  <c r="A515" i="15"/>
  <c r="B514" i="15"/>
  <c r="A514" i="15"/>
  <c r="B513" i="15"/>
  <c r="A513" i="15"/>
  <c r="B512" i="15"/>
  <c r="A512" i="15"/>
  <c r="B511" i="15"/>
  <c r="A511" i="15"/>
  <c r="B510" i="15"/>
  <c r="A510" i="15"/>
  <c r="B509" i="15"/>
  <c r="A509" i="15"/>
  <c r="B508" i="15"/>
  <c r="A508" i="15"/>
  <c r="B507" i="15"/>
  <c r="A507" i="15"/>
  <c r="B506" i="15"/>
  <c r="A506" i="15"/>
  <c r="B505" i="15"/>
  <c r="A505" i="15"/>
  <c r="B504" i="15"/>
  <c r="A504" i="15"/>
  <c r="B503" i="15"/>
  <c r="A503" i="15"/>
  <c r="B502" i="15"/>
  <c r="A502" i="15"/>
  <c r="B501" i="15"/>
  <c r="A501" i="15"/>
  <c r="B500" i="15"/>
  <c r="A500" i="15"/>
  <c r="B499" i="15"/>
  <c r="A499" i="15"/>
  <c r="B498" i="15"/>
  <c r="A498" i="15"/>
  <c r="B497" i="15"/>
  <c r="A497" i="15"/>
  <c r="B496" i="15"/>
  <c r="A496" i="15"/>
  <c r="B495" i="15"/>
  <c r="A495" i="15"/>
  <c r="B494" i="15"/>
  <c r="A494" i="15"/>
  <c r="B493" i="15"/>
  <c r="A493" i="15"/>
  <c r="B492" i="15"/>
  <c r="A492" i="15"/>
  <c r="B491" i="15"/>
  <c r="A491" i="15"/>
  <c r="B490" i="15"/>
  <c r="A490" i="15"/>
  <c r="B489" i="15"/>
  <c r="A489" i="15"/>
  <c r="B488" i="15"/>
  <c r="A488" i="15"/>
  <c r="B487" i="15"/>
  <c r="A487" i="15"/>
  <c r="B486" i="15"/>
  <c r="A486" i="15"/>
  <c r="B485" i="15"/>
  <c r="A485" i="15"/>
  <c r="B484" i="15"/>
  <c r="A484" i="15"/>
  <c r="B483" i="15"/>
  <c r="A483" i="15"/>
  <c r="B482" i="15"/>
  <c r="A482" i="15"/>
  <c r="B481" i="15"/>
  <c r="A481" i="15"/>
  <c r="B480" i="15"/>
  <c r="A480" i="15"/>
  <c r="B479" i="15"/>
  <c r="A479" i="15"/>
  <c r="B478" i="15"/>
  <c r="A478" i="15"/>
  <c r="B477" i="15"/>
  <c r="A477" i="15"/>
  <c r="B476" i="15"/>
  <c r="A476" i="15"/>
  <c r="B475" i="15"/>
  <c r="A475" i="15"/>
  <c r="B474" i="15"/>
  <c r="A474" i="15"/>
  <c r="B473" i="15"/>
  <c r="A473" i="15"/>
  <c r="B472" i="15"/>
  <c r="A472" i="15"/>
  <c r="B471" i="15"/>
  <c r="A471" i="15"/>
  <c r="B470" i="15"/>
  <c r="A470" i="15"/>
  <c r="B469" i="15"/>
  <c r="A469" i="15"/>
  <c r="B468" i="15"/>
  <c r="A468" i="15"/>
  <c r="B467" i="15"/>
  <c r="A467" i="15"/>
  <c r="B466" i="15"/>
  <c r="A466" i="15"/>
  <c r="B465" i="15"/>
  <c r="A465" i="15"/>
  <c r="B464" i="15"/>
  <c r="A464" i="15"/>
  <c r="B463" i="15"/>
  <c r="A463" i="15"/>
  <c r="B462" i="15"/>
  <c r="A462" i="15"/>
  <c r="B461" i="15"/>
  <c r="A461" i="15"/>
  <c r="B460" i="15"/>
  <c r="A460" i="15"/>
  <c r="B459" i="15"/>
  <c r="A459" i="15"/>
  <c r="B458" i="15"/>
  <c r="A458" i="15"/>
  <c r="B457" i="15"/>
  <c r="A457" i="15"/>
  <c r="B456" i="15"/>
  <c r="A456" i="15"/>
  <c r="B455" i="15"/>
  <c r="A455" i="15"/>
  <c r="B454" i="15"/>
  <c r="A454" i="15"/>
  <c r="B453" i="15"/>
  <c r="A453" i="15"/>
  <c r="B452" i="15"/>
  <c r="A452" i="15"/>
  <c r="B451" i="15"/>
  <c r="A451" i="15"/>
  <c r="B450" i="15"/>
  <c r="A450" i="15"/>
  <c r="B449" i="15"/>
  <c r="A449" i="15"/>
  <c r="B448" i="15"/>
  <c r="A448" i="15"/>
  <c r="B447" i="15"/>
  <c r="A447" i="15"/>
  <c r="B446" i="15"/>
  <c r="A446" i="15"/>
  <c r="B445" i="15"/>
  <c r="A445" i="15"/>
  <c r="B444" i="15"/>
  <c r="A444" i="15"/>
  <c r="B443" i="15"/>
  <c r="A443" i="15"/>
  <c r="B442" i="15"/>
  <c r="A442" i="15"/>
  <c r="B441" i="15"/>
  <c r="A441" i="15"/>
  <c r="B440" i="15"/>
  <c r="A440" i="15"/>
  <c r="B439" i="15"/>
  <c r="A439" i="15"/>
  <c r="B438" i="15"/>
  <c r="A438" i="15"/>
  <c r="B437" i="15"/>
  <c r="A437" i="15"/>
  <c r="B436" i="15"/>
  <c r="A436" i="15"/>
  <c r="B435" i="15"/>
  <c r="A435" i="15"/>
  <c r="B434" i="15"/>
  <c r="A434" i="15"/>
  <c r="B433" i="15"/>
  <c r="A433" i="15"/>
  <c r="B432" i="15"/>
  <c r="A432" i="15"/>
  <c r="B431" i="15"/>
  <c r="A431" i="15"/>
  <c r="B430" i="15"/>
  <c r="A430" i="15"/>
  <c r="B429" i="15"/>
  <c r="A429" i="15"/>
  <c r="B428" i="15"/>
  <c r="A428" i="15"/>
  <c r="B427" i="15"/>
  <c r="A427" i="15"/>
  <c r="B426" i="15"/>
  <c r="A426" i="15"/>
  <c r="B425" i="15"/>
  <c r="A425" i="15"/>
  <c r="B424" i="15"/>
  <c r="A424" i="15"/>
  <c r="B423" i="15"/>
  <c r="A423" i="15"/>
  <c r="B422" i="15"/>
  <c r="A422" i="15"/>
  <c r="B421" i="15"/>
  <c r="A421" i="15"/>
  <c r="B420" i="15"/>
  <c r="A420" i="15"/>
  <c r="B419" i="15"/>
  <c r="A419" i="15"/>
  <c r="B418" i="15"/>
  <c r="A418" i="15"/>
  <c r="B417" i="15"/>
  <c r="A417" i="15"/>
  <c r="B416" i="15"/>
  <c r="A416" i="15"/>
  <c r="B415" i="15"/>
  <c r="A415" i="15"/>
  <c r="B414" i="15"/>
  <c r="A414" i="15"/>
  <c r="B413" i="15"/>
  <c r="A413" i="15"/>
  <c r="B412" i="15"/>
  <c r="A412" i="15"/>
  <c r="B411" i="15"/>
  <c r="A411" i="15"/>
  <c r="B410" i="15"/>
  <c r="A410" i="15"/>
  <c r="B409" i="15"/>
  <c r="A409" i="15"/>
  <c r="B408" i="15"/>
  <c r="A408" i="15"/>
  <c r="B407" i="15"/>
  <c r="A407" i="15"/>
  <c r="B406" i="15"/>
  <c r="A406" i="15"/>
  <c r="B405" i="15"/>
  <c r="A405" i="15"/>
  <c r="B404" i="15"/>
  <c r="A404" i="15"/>
  <c r="B403" i="15"/>
  <c r="A403" i="15"/>
  <c r="B402" i="15"/>
  <c r="A402" i="15"/>
  <c r="B401" i="15"/>
  <c r="A401" i="15"/>
  <c r="B400" i="15"/>
  <c r="A400" i="15"/>
  <c r="B399" i="15"/>
  <c r="A399" i="15"/>
  <c r="B398" i="15"/>
  <c r="A398" i="15"/>
  <c r="B397" i="15"/>
  <c r="A397" i="15"/>
  <c r="B396" i="15"/>
  <c r="A396" i="15"/>
  <c r="B395" i="15"/>
  <c r="A395" i="15"/>
  <c r="B394" i="15"/>
  <c r="A394" i="15"/>
  <c r="B393" i="15"/>
  <c r="A393" i="15"/>
  <c r="B392" i="15"/>
  <c r="A392" i="15"/>
  <c r="B391" i="15"/>
  <c r="A391" i="15"/>
  <c r="B390" i="15"/>
  <c r="A390" i="15"/>
  <c r="B389" i="15"/>
  <c r="A389" i="15"/>
  <c r="B388" i="15"/>
  <c r="A388" i="15"/>
  <c r="B387" i="15"/>
  <c r="A387" i="15"/>
  <c r="B386" i="15"/>
  <c r="A386" i="15"/>
  <c r="B385" i="15"/>
  <c r="A385" i="15"/>
  <c r="B384" i="15"/>
  <c r="A384" i="15"/>
  <c r="B383" i="15"/>
  <c r="A383" i="15"/>
  <c r="B382" i="15"/>
  <c r="A382" i="15"/>
  <c r="B381" i="15"/>
  <c r="A381" i="15"/>
  <c r="B380" i="15"/>
  <c r="A380" i="15"/>
  <c r="B379" i="15"/>
  <c r="A379" i="15"/>
  <c r="B378" i="15"/>
  <c r="A378" i="15"/>
  <c r="B377" i="15"/>
  <c r="A377" i="15"/>
  <c r="B376" i="15"/>
  <c r="A376" i="15"/>
  <c r="B375" i="15"/>
  <c r="A375" i="15"/>
  <c r="B374" i="15"/>
  <c r="A374" i="15"/>
  <c r="B373" i="15"/>
  <c r="A373" i="15"/>
  <c r="B372" i="15"/>
  <c r="A372" i="15"/>
  <c r="B371" i="15"/>
  <c r="A371" i="15"/>
  <c r="B370" i="15"/>
  <c r="A370" i="15"/>
  <c r="B369" i="15"/>
  <c r="A369" i="15"/>
  <c r="B368" i="15"/>
  <c r="A368" i="15"/>
  <c r="B367" i="15"/>
  <c r="A367" i="15"/>
  <c r="B366" i="15"/>
  <c r="A366" i="15"/>
  <c r="B365" i="15"/>
  <c r="A365" i="15"/>
  <c r="B364" i="15"/>
  <c r="A364" i="15"/>
  <c r="B363" i="15"/>
  <c r="A363" i="15"/>
  <c r="B362" i="15"/>
  <c r="A362" i="15"/>
  <c r="B361" i="15"/>
  <c r="A361" i="15"/>
  <c r="B360" i="15"/>
  <c r="A360" i="15"/>
  <c r="B359" i="15"/>
  <c r="A359" i="15"/>
  <c r="B358" i="15"/>
  <c r="A358" i="15"/>
  <c r="B357" i="15"/>
  <c r="A357" i="15"/>
  <c r="B356" i="15"/>
  <c r="A356" i="15"/>
  <c r="B355" i="15"/>
  <c r="A355" i="15"/>
  <c r="B354" i="15"/>
  <c r="A354" i="15"/>
  <c r="B353" i="15"/>
  <c r="A353" i="15"/>
  <c r="B352" i="15"/>
  <c r="A352" i="15"/>
  <c r="B351" i="15"/>
  <c r="A351" i="15"/>
  <c r="B350" i="15"/>
  <c r="A350" i="15"/>
  <c r="B349" i="15"/>
  <c r="A349" i="15"/>
  <c r="B348" i="15"/>
  <c r="A348" i="15"/>
  <c r="B347" i="15"/>
  <c r="A347" i="15"/>
  <c r="B346" i="15"/>
  <c r="A346" i="15"/>
  <c r="B345" i="15"/>
  <c r="A345" i="15"/>
  <c r="B344" i="15"/>
  <c r="A344" i="15"/>
  <c r="B343" i="15"/>
  <c r="A343" i="15"/>
  <c r="B342" i="15"/>
  <c r="A342" i="15"/>
  <c r="B341" i="15"/>
  <c r="A341" i="15"/>
  <c r="B340" i="15"/>
  <c r="A340" i="15"/>
  <c r="B339" i="15"/>
  <c r="A339" i="15"/>
  <c r="B338" i="15"/>
  <c r="A338" i="15"/>
  <c r="B337" i="15"/>
  <c r="A337" i="15"/>
  <c r="B336" i="15"/>
  <c r="A336" i="15"/>
  <c r="B335" i="15"/>
  <c r="A335" i="15"/>
  <c r="B334" i="15"/>
  <c r="A334" i="15"/>
  <c r="B333" i="15"/>
  <c r="A333" i="15"/>
  <c r="B332" i="15"/>
  <c r="A332" i="15"/>
  <c r="B331" i="15"/>
  <c r="A331" i="15"/>
  <c r="B330" i="15"/>
  <c r="A330" i="15"/>
  <c r="B329" i="15"/>
  <c r="A329" i="15"/>
  <c r="B328" i="15"/>
  <c r="A328" i="15"/>
  <c r="B327" i="15"/>
  <c r="A327" i="15"/>
  <c r="B326" i="15"/>
  <c r="A326" i="15"/>
  <c r="B325" i="15"/>
  <c r="A325" i="15"/>
  <c r="B324" i="15"/>
  <c r="A324" i="15"/>
  <c r="B323" i="15"/>
  <c r="A323" i="15"/>
  <c r="B322" i="15"/>
  <c r="A322" i="15"/>
  <c r="B321" i="15"/>
  <c r="A321" i="15"/>
  <c r="B320" i="15"/>
  <c r="A320" i="15"/>
  <c r="B319" i="15"/>
  <c r="A319" i="15"/>
  <c r="B318" i="15"/>
  <c r="A318" i="15"/>
  <c r="B317" i="15"/>
  <c r="A317" i="15"/>
  <c r="B316" i="15"/>
  <c r="A316" i="15"/>
  <c r="B315" i="15"/>
  <c r="A315" i="15"/>
  <c r="B314" i="15"/>
  <c r="A314" i="15"/>
  <c r="B313" i="15"/>
  <c r="A313" i="15"/>
  <c r="B312" i="15"/>
  <c r="A312" i="15"/>
  <c r="B311" i="15"/>
  <c r="A311" i="15"/>
  <c r="B310" i="15"/>
  <c r="A310" i="15"/>
  <c r="B309" i="15"/>
  <c r="A309" i="15"/>
  <c r="B308" i="15"/>
  <c r="A308" i="15"/>
  <c r="B307" i="15"/>
  <c r="A307" i="15"/>
  <c r="B306" i="15"/>
  <c r="A306" i="15"/>
  <c r="B305" i="15"/>
  <c r="A305" i="15"/>
  <c r="B304" i="15"/>
  <c r="A304" i="15"/>
  <c r="B303" i="15"/>
  <c r="A303" i="15"/>
  <c r="B302" i="15"/>
  <c r="A302" i="15"/>
  <c r="B301" i="15"/>
  <c r="A301" i="15"/>
  <c r="B300" i="15"/>
  <c r="A300" i="15"/>
  <c r="B299" i="15"/>
  <c r="A299" i="15"/>
  <c r="B298" i="15"/>
  <c r="A298" i="15"/>
  <c r="B297" i="15"/>
  <c r="A297" i="15"/>
  <c r="B296" i="15"/>
  <c r="A296" i="15"/>
  <c r="B295" i="15"/>
  <c r="A295" i="15"/>
  <c r="B294" i="15"/>
  <c r="A294" i="15"/>
  <c r="B293" i="15"/>
  <c r="A293" i="15"/>
  <c r="B292" i="15"/>
  <c r="A292" i="15"/>
  <c r="B291" i="15"/>
  <c r="A291" i="15"/>
  <c r="B290" i="15"/>
  <c r="A290" i="15"/>
  <c r="B289" i="15"/>
  <c r="A289" i="15"/>
  <c r="B288" i="15"/>
  <c r="A288" i="15"/>
  <c r="B287" i="15"/>
  <c r="A287" i="15"/>
  <c r="B286" i="15"/>
  <c r="A286" i="15"/>
  <c r="B285" i="15"/>
  <c r="A285" i="15"/>
  <c r="B284" i="15"/>
  <c r="A284" i="15"/>
  <c r="B283" i="15"/>
  <c r="A283" i="15"/>
  <c r="B282" i="15"/>
  <c r="A282" i="15"/>
  <c r="B281" i="15"/>
  <c r="A281" i="15"/>
  <c r="B280" i="15"/>
  <c r="A280" i="15"/>
  <c r="B279" i="15"/>
  <c r="A279" i="15"/>
  <c r="B278" i="15"/>
  <c r="A278" i="15"/>
  <c r="B277" i="15"/>
  <c r="A277" i="15"/>
  <c r="B276" i="15"/>
  <c r="A276" i="15"/>
  <c r="B275" i="15"/>
  <c r="A275" i="15"/>
  <c r="B274" i="15"/>
  <c r="A274" i="15"/>
  <c r="B273" i="15"/>
  <c r="A273" i="15"/>
  <c r="B272" i="15"/>
  <c r="A272" i="15"/>
  <c r="B271" i="15"/>
  <c r="A271" i="15"/>
  <c r="B270" i="15"/>
  <c r="A270" i="15"/>
  <c r="B269" i="15"/>
  <c r="A269" i="15"/>
  <c r="B268" i="15"/>
  <c r="A268" i="15"/>
  <c r="B267" i="15"/>
  <c r="A267" i="15"/>
  <c r="B266" i="15"/>
  <c r="A266" i="15"/>
  <c r="B265" i="15"/>
  <c r="A265" i="15"/>
  <c r="B264" i="15"/>
  <c r="A264" i="15"/>
  <c r="B263" i="15"/>
  <c r="A263" i="15"/>
  <c r="B262" i="15"/>
  <c r="A262" i="15"/>
  <c r="B261" i="15"/>
  <c r="A261" i="15"/>
  <c r="B260" i="15"/>
  <c r="A260" i="15"/>
  <c r="B259" i="15"/>
  <c r="A259" i="15"/>
  <c r="B258" i="15"/>
  <c r="A258" i="15"/>
  <c r="B257" i="15"/>
  <c r="A257" i="15"/>
  <c r="B256" i="15"/>
  <c r="A256" i="15"/>
  <c r="B255" i="15"/>
  <c r="A255" i="15"/>
  <c r="B254" i="15"/>
  <c r="A254" i="15"/>
  <c r="B253" i="15"/>
  <c r="A253" i="15"/>
  <c r="B252" i="15"/>
  <c r="A252" i="15"/>
  <c r="B251" i="15"/>
  <c r="A251" i="15"/>
  <c r="B250" i="15"/>
  <c r="A250" i="15"/>
  <c r="B249" i="15"/>
  <c r="A249" i="15"/>
  <c r="B248" i="15"/>
  <c r="A248" i="15"/>
  <c r="B247" i="15"/>
  <c r="A247" i="15"/>
  <c r="B246" i="15"/>
  <c r="A246" i="15"/>
  <c r="B245" i="15"/>
  <c r="A245" i="15"/>
  <c r="B244" i="15"/>
  <c r="A244" i="15"/>
  <c r="B243" i="15"/>
  <c r="A243" i="15"/>
  <c r="B242" i="15"/>
  <c r="A242" i="15"/>
  <c r="B241" i="15"/>
  <c r="A241" i="15"/>
  <c r="B240" i="15"/>
  <c r="A240" i="15"/>
  <c r="B239" i="15"/>
  <c r="A239" i="15"/>
  <c r="B238" i="15"/>
  <c r="A238" i="15"/>
  <c r="B237" i="15"/>
  <c r="A237" i="15"/>
  <c r="B236" i="15"/>
  <c r="A236" i="15"/>
  <c r="B235" i="15"/>
  <c r="A235" i="15"/>
  <c r="B234" i="15"/>
  <c r="A234" i="15"/>
  <c r="B233" i="15"/>
  <c r="A233" i="15"/>
  <c r="B232" i="15"/>
  <c r="A232" i="15"/>
  <c r="B231" i="15"/>
  <c r="A231" i="15"/>
  <c r="B230" i="15"/>
  <c r="A230" i="15"/>
  <c r="B229" i="15"/>
  <c r="A229" i="15"/>
  <c r="B228" i="15"/>
  <c r="A228" i="15"/>
  <c r="B227" i="15"/>
  <c r="A227" i="15"/>
  <c r="B226" i="15"/>
  <c r="A226" i="15"/>
  <c r="B225" i="15"/>
  <c r="A225" i="15"/>
  <c r="B224" i="15"/>
  <c r="A224" i="15"/>
  <c r="B223" i="15"/>
  <c r="A223" i="15"/>
  <c r="B222" i="15"/>
  <c r="A222" i="15"/>
  <c r="B221" i="15"/>
  <c r="A221" i="15"/>
  <c r="B220" i="15"/>
  <c r="A220" i="15"/>
  <c r="B219" i="15"/>
  <c r="A219" i="15"/>
  <c r="B218" i="15"/>
  <c r="A218" i="15"/>
  <c r="B217" i="15"/>
  <c r="A217" i="15"/>
  <c r="B216" i="15"/>
  <c r="A216" i="15"/>
  <c r="B215" i="15"/>
  <c r="A215" i="15"/>
  <c r="B214" i="15"/>
  <c r="A214" i="15"/>
  <c r="B213" i="15"/>
  <c r="A213" i="15"/>
  <c r="B212" i="15"/>
  <c r="A212" i="15"/>
  <c r="B211" i="15"/>
  <c r="A211" i="15"/>
  <c r="B210" i="15"/>
  <c r="A210" i="15"/>
  <c r="B209" i="15"/>
  <c r="A209" i="15"/>
  <c r="B208" i="15"/>
  <c r="A208" i="15"/>
  <c r="B207" i="15"/>
  <c r="A207" i="15"/>
  <c r="B206" i="15"/>
  <c r="A206" i="15"/>
  <c r="B205" i="15"/>
  <c r="A205" i="15"/>
  <c r="B204" i="15"/>
  <c r="A204" i="15"/>
  <c r="B203" i="15"/>
  <c r="A203" i="15"/>
  <c r="B202" i="15"/>
  <c r="A202" i="15"/>
  <c r="B201" i="15"/>
  <c r="A201" i="15"/>
  <c r="B200" i="15"/>
  <c r="A200" i="15"/>
  <c r="B199" i="15"/>
  <c r="A199" i="15"/>
  <c r="B198" i="15"/>
  <c r="A198" i="15"/>
  <c r="B197" i="15"/>
  <c r="A197" i="15"/>
  <c r="B196" i="15"/>
  <c r="A196" i="15"/>
  <c r="B195" i="15"/>
  <c r="A195" i="15"/>
  <c r="B194" i="15"/>
  <c r="A194" i="15"/>
  <c r="B193" i="15"/>
  <c r="A193" i="15"/>
  <c r="B192" i="15"/>
  <c r="A192" i="15"/>
  <c r="B191" i="15"/>
  <c r="A191" i="15"/>
  <c r="B190" i="15"/>
  <c r="A190" i="15"/>
  <c r="B189" i="15"/>
  <c r="A189" i="15"/>
  <c r="B188" i="15"/>
  <c r="A188" i="15"/>
  <c r="B187" i="15"/>
  <c r="A187" i="15"/>
  <c r="B186" i="15"/>
  <c r="A186" i="15"/>
  <c r="B185" i="15"/>
  <c r="A185" i="15"/>
  <c r="B184" i="15"/>
  <c r="A184" i="15"/>
  <c r="B183" i="15"/>
  <c r="A183" i="15"/>
  <c r="B182" i="15"/>
  <c r="A182" i="15"/>
  <c r="B181" i="15"/>
  <c r="A181" i="15"/>
  <c r="B180" i="15"/>
  <c r="A180" i="15"/>
  <c r="B179" i="15"/>
  <c r="A179" i="15"/>
  <c r="B178" i="15"/>
  <c r="A178" i="15"/>
  <c r="B177" i="15"/>
  <c r="A177" i="15"/>
  <c r="B176" i="15"/>
  <c r="A176" i="15"/>
  <c r="B175" i="15"/>
  <c r="A175" i="15"/>
  <c r="B174" i="15"/>
  <c r="A174" i="15"/>
  <c r="B173" i="15"/>
  <c r="A173" i="15"/>
  <c r="B172" i="15"/>
  <c r="A172" i="15"/>
  <c r="B171" i="15"/>
  <c r="A171" i="15"/>
  <c r="B170" i="15"/>
  <c r="A170" i="15"/>
  <c r="B169" i="15"/>
  <c r="A169" i="15"/>
  <c r="B168" i="15"/>
  <c r="A168" i="15"/>
  <c r="B167" i="15"/>
  <c r="A167" i="15"/>
  <c r="B166" i="15"/>
  <c r="A166" i="15"/>
  <c r="B165" i="15"/>
  <c r="A165" i="15"/>
  <c r="B164" i="15"/>
  <c r="A164" i="15"/>
  <c r="B163" i="15"/>
  <c r="A163" i="15"/>
  <c r="B162" i="15"/>
  <c r="A162" i="15"/>
  <c r="B161" i="15"/>
  <c r="A161" i="15"/>
  <c r="B160" i="15"/>
  <c r="A160" i="15"/>
  <c r="B159" i="15"/>
  <c r="A159" i="15"/>
  <c r="B158" i="15"/>
  <c r="A158" i="15"/>
  <c r="B157" i="15"/>
  <c r="A157" i="15"/>
  <c r="B156" i="15"/>
  <c r="A156" i="15"/>
  <c r="B155" i="15"/>
  <c r="A155" i="15"/>
  <c r="B154" i="15"/>
  <c r="A154" i="15"/>
  <c r="B153" i="15"/>
  <c r="A153" i="15"/>
  <c r="B152" i="15"/>
  <c r="A152" i="15"/>
  <c r="B151" i="15"/>
  <c r="A151" i="15"/>
  <c r="B150" i="15"/>
  <c r="A150" i="15"/>
  <c r="B149" i="15"/>
  <c r="A149" i="15"/>
  <c r="B148" i="15"/>
  <c r="A148" i="15"/>
  <c r="B147" i="15"/>
  <c r="A147" i="15"/>
  <c r="B146" i="15"/>
  <c r="A146" i="15"/>
  <c r="B145" i="15"/>
  <c r="A145" i="15"/>
  <c r="B144" i="15"/>
  <c r="A144" i="15"/>
  <c r="B143" i="15"/>
  <c r="A143" i="15"/>
  <c r="B142" i="15"/>
  <c r="A142" i="15"/>
  <c r="B141" i="15"/>
  <c r="A141" i="15"/>
  <c r="B140" i="15"/>
  <c r="A140" i="15"/>
  <c r="B139" i="15"/>
  <c r="A139" i="15"/>
  <c r="B138" i="15"/>
  <c r="A138" i="15"/>
  <c r="B137" i="15"/>
  <c r="A137" i="15"/>
  <c r="B136" i="15"/>
  <c r="A136" i="15"/>
  <c r="B135" i="15"/>
  <c r="A135" i="15"/>
  <c r="B134" i="15"/>
  <c r="A134" i="15"/>
  <c r="B133" i="15"/>
  <c r="A133" i="15"/>
  <c r="B132" i="15"/>
  <c r="A132" i="15"/>
  <c r="B131" i="15"/>
  <c r="A131" i="15"/>
  <c r="B130" i="15"/>
  <c r="A130" i="15"/>
  <c r="B129" i="15"/>
  <c r="A129" i="15"/>
  <c r="B128" i="15"/>
  <c r="A128" i="15"/>
  <c r="B127" i="15"/>
  <c r="A127" i="15"/>
  <c r="B126" i="15"/>
  <c r="A126" i="15"/>
  <c r="B125" i="15"/>
  <c r="A125" i="15"/>
  <c r="B124" i="15"/>
  <c r="A124" i="15"/>
  <c r="B123" i="15"/>
  <c r="A123" i="15"/>
  <c r="B122" i="15"/>
  <c r="A122" i="15"/>
  <c r="B121" i="15"/>
  <c r="A121" i="15"/>
  <c r="B120" i="15"/>
  <c r="A120" i="15"/>
  <c r="B119" i="15"/>
  <c r="A119" i="15"/>
  <c r="B118" i="15"/>
  <c r="A118" i="15"/>
  <c r="B117" i="15"/>
  <c r="A117" i="15"/>
  <c r="B116" i="15"/>
  <c r="A116" i="15"/>
  <c r="B115" i="15"/>
  <c r="A115" i="15"/>
  <c r="B114" i="15"/>
  <c r="A114" i="15"/>
  <c r="B113" i="15"/>
  <c r="A113" i="15"/>
  <c r="B112" i="15"/>
  <c r="A112" i="15"/>
  <c r="B111" i="15"/>
  <c r="A111" i="15"/>
  <c r="B110" i="15"/>
  <c r="A110" i="15"/>
  <c r="B109" i="15"/>
  <c r="A109" i="15"/>
  <c r="B108" i="15"/>
  <c r="A108" i="15"/>
  <c r="B107" i="15"/>
  <c r="A107" i="15"/>
  <c r="B106" i="15"/>
  <c r="A106" i="15"/>
  <c r="B105" i="15"/>
  <c r="A105" i="15"/>
  <c r="B104" i="15"/>
  <c r="A104" i="15"/>
  <c r="B103" i="15"/>
  <c r="A103" i="15"/>
  <c r="B102" i="15"/>
  <c r="A102" i="15"/>
  <c r="B101" i="15"/>
  <c r="A101" i="15"/>
  <c r="B100" i="15"/>
  <c r="A100" i="15"/>
  <c r="B99" i="15"/>
  <c r="A99" i="15"/>
  <c r="B98" i="15"/>
  <c r="A98" i="15"/>
  <c r="B97" i="15"/>
  <c r="A97" i="15"/>
  <c r="B96" i="15"/>
  <c r="A96" i="15"/>
  <c r="B95" i="15"/>
  <c r="A95" i="15"/>
  <c r="B94" i="15"/>
  <c r="A94" i="15"/>
  <c r="B93" i="15"/>
  <c r="A93" i="15"/>
  <c r="B92" i="15"/>
  <c r="A92" i="15"/>
  <c r="B91" i="15"/>
  <c r="A91" i="15"/>
  <c r="B90" i="15"/>
  <c r="A90" i="15"/>
  <c r="B89" i="15"/>
  <c r="A89" i="15"/>
  <c r="B88" i="15"/>
  <c r="A88" i="15"/>
  <c r="B87" i="15"/>
  <c r="A87" i="15"/>
  <c r="B86" i="15"/>
  <c r="A86" i="15"/>
  <c r="B85" i="15"/>
  <c r="A85" i="15"/>
  <c r="B84" i="15"/>
  <c r="A84" i="15"/>
  <c r="B83" i="15"/>
  <c r="A83" i="15"/>
  <c r="B82" i="15"/>
  <c r="A82" i="15"/>
  <c r="B81" i="15"/>
  <c r="A81" i="15"/>
  <c r="B80" i="15"/>
  <c r="A80" i="15"/>
  <c r="B79" i="15"/>
  <c r="A79" i="15"/>
  <c r="B78" i="15"/>
  <c r="A78" i="15"/>
  <c r="B77" i="15"/>
  <c r="A77" i="15"/>
  <c r="B76" i="15"/>
  <c r="A76" i="15"/>
  <c r="B75" i="15"/>
  <c r="A75" i="15"/>
  <c r="B74" i="15"/>
  <c r="A74" i="15"/>
  <c r="B73" i="15"/>
  <c r="A73" i="15"/>
  <c r="B72" i="15"/>
  <c r="A72" i="15"/>
  <c r="B71" i="15"/>
  <c r="A71" i="15"/>
  <c r="B70" i="15"/>
  <c r="A70" i="15"/>
  <c r="B69" i="15"/>
  <c r="A69" i="15"/>
  <c r="B68" i="15"/>
  <c r="A68" i="15"/>
  <c r="B67" i="15"/>
  <c r="A67" i="15"/>
  <c r="B66" i="15"/>
  <c r="A66" i="15"/>
  <c r="B65" i="15"/>
  <c r="A65" i="15"/>
  <c r="B64" i="15"/>
  <c r="A64" i="15"/>
  <c r="B63" i="15"/>
  <c r="A63" i="15"/>
  <c r="B62" i="15"/>
  <c r="A62" i="15"/>
  <c r="B61" i="15"/>
  <c r="A61" i="15"/>
  <c r="B60" i="15"/>
  <c r="A60" i="15"/>
  <c r="B59" i="15"/>
  <c r="A59" i="15"/>
  <c r="B58" i="15"/>
  <c r="A58" i="15"/>
  <c r="B57" i="15"/>
  <c r="A57" i="15"/>
  <c r="B56" i="15"/>
  <c r="A56" i="15"/>
  <c r="B55" i="15"/>
  <c r="A55" i="15"/>
  <c r="B54" i="15"/>
  <c r="A54" i="15"/>
  <c r="B53" i="15"/>
  <c r="A53" i="15"/>
  <c r="B52" i="15"/>
  <c r="A52" i="15"/>
  <c r="B51" i="15"/>
  <c r="A51" i="15"/>
  <c r="B50" i="15"/>
  <c r="A50" i="15"/>
  <c r="B49" i="15"/>
  <c r="A49" i="15"/>
  <c r="B48" i="15"/>
  <c r="A48" i="15"/>
  <c r="B47" i="15"/>
  <c r="A47" i="15"/>
  <c r="B46" i="15"/>
  <c r="A46" i="15"/>
  <c r="B45" i="15"/>
  <c r="A45" i="15"/>
  <c r="B44" i="15"/>
  <c r="A44" i="15"/>
  <c r="B43" i="15"/>
  <c r="A43" i="15"/>
  <c r="B42" i="15"/>
  <c r="A42" i="15"/>
  <c r="B41" i="15"/>
  <c r="A41" i="15"/>
  <c r="B40" i="15"/>
  <c r="A40" i="15"/>
  <c r="B39" i="15"/>
  <c r="A39" i="15"/>
  <c r="B38" i="15"/>
  <c r="A38" i="15"/>
  <c r="B37" i="15"/>
  <c r="A37" i="15"/>
  <c r="B36" i="15"/>
  <c r="A36" i="15"/>
  <c r="B35" i="15"/>
  <c r="A35" i="15"/>
  <c r="B34" i="15"/>
  <c r="A34" i="15"/>
  <c r="B33" i="15"/>
  <c r="A33" i="15"/>
  <c r="B32" i="15"/>
  <c r="A32" i="15"/>
  <c r="B31" i="15"/>
  <c r="A31" i="15"/>
  <c r="B30" i="15"/>
  <c r="A30" i="15"/>
  <c r="B29" i="15"/>
  <c r="A29" i="15"/>
  <c r="B28" i="15"/>
  <c r="A28" i="15"/>
  <c r="B27" i="15"/>
  <c r="A27" i="15"/>
  <c r="B26" i="15"/>
  <c r="A26" i="15"/>
  <c r="B25" i="15"/>
  <c r="A25" i="15"/>
  <c r="B24" i="15"/>
  <c r="A24" i="15"/>
  <c r="B23" i="15"/>
  <c r="A23" i="15"/>
  <c r="B22" i="15"/>
  <c r="A22" i="15"/>
  <c r="B21" i="15"/>
  <c r="A21" i="15"/>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B5" i="15"/>
  <c r="A5" i="15"/>
  <c r="B4" i="15"/>
  <c r="A4" i="15"/>
  <c r="B3" i="15"/>
  <c r="A3" i="15"/>
  <c r="B2" i="15"/>
  <c r="A2" i="15"/>
</calcChain>
</file>

<file path=xl/sharedStrings.xml><?xml version="1.0" encoding="utf-8"?>
<sst xmlns="http://schemas.openxmlformats.org/spreadsheetml/2006/main" count="9498" uniqueCount="8825">
  <si>
    <t># Not Seek</t>
  </si>
  <si>
    <t># No Info</t>
  </si>
  <si>
    <t>Salary Mean</t>
  </si>
  <si>
    <t>Salary Median</t>
  </si>
  <si>
    <t>Bonus Mean</t>
  </si>
  <si>
    <t>Bonus Median</t>
  </si>
  <si>
    <t># of Salaries</t>
  </si>
  <si>
    <t>% of Salaries</t>
  </si>
  <si>
    <t># of Bonuses</t>
  </si>
  <si>
    <t>Column Name</t>
  </si>
  <si>
    <t>Description</t>
  </si>
  <si>
    <t># Not Seeking</t>
  </si>
  <si>
    <t>The number of graduates not seeking employment or continuing education</t>
  </si>
  <si>
    <t># Service</t>
  </si>
  <si>
    <t>The number of graduates serving full-time in military service</t>
  </si>
  <si>
    <t>The number of graduates for whom no information is available</t>
  </si>
  <si>
    <t>Salary Low</t>
  </si>
  <si>
    <t>Salary High</t>
  </si>
  <si>
    <t>Bonus Low</t>
  </si>
  <si>
    <t>Bonus High</t>
  </si>
  <si>
    <t>The total number of know full-time annual salaries</t>
  </si>
  <si>
    <t>The percent of full-time employed graduates for whom the annual salary is known</t>
  </si>
  <si>
    <t>Average Salary of full-time employed graduates receiving a salary</t>
  </si>
  <si>
    <t>The midpoint in the range of full-time salaries (50th percentile of the salary range)</t>
  </si>
  <si>
    <t>Average Bonus of full-time employed graduates receiving a bonus</t>
  </si>
  <si>
    <t>The midpoint in the range of guaranteed bonuses (50th percentile of the bonus range)</t>
  </si>
  <si>
    <t># Entrepreneur FT</t>
  </si>
  <si>
    <t># Entrepreneur PT</t>
  </si>
  <si>
    <t xml:space="preserve"># Service </t>
  </si>
  <si>
    <t>Total Number Graduated</t>
  </si>
  <si>
    <t>Academic Program Name</t>
  </si>
  <si>
    <t>Example: Aeronautical Engineering</t>
  </si>
  <si>
    <t># Temp/Contract FT</t>
  </si>
  <si>
    <t># Temp/Contract PT</t>
  </si>
  <si>
    <t># Freelance FT</t>
  </si>
  <si>
    <t># Freelance PT</t>
  </si>
  <si>
    <t># Post Grad Fellowship/Internship FT</t>
  </si>
  <si>
    <t># Post Grad Fellowship/Internship PT</t>
  </si>
  <si>
    <t xml:space="preserve"># Military Service </t>
  </si>
  <si>
    <t># Continuing Education</t>
  </si>
  <si>
    <t># Seeking Employment</t>
  </si>
  <si>
    <t># Seeking Continuing Education</t>
  </si>
  <si>
    <t># of Salaries (Full-time Employed)</t>
  </si>
  <si>
    <t># receiving Bonus</t>
  </si>
  <si>
    <t>The number of graduates receiving a degree at the specified level</t>
  </si>
  <si>
    <t>The number of graduates employed part-time (less than 30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</si>
  <si>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</si>
  <si>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as freelance - someone who develops his own project, completes it, and sells it to a client, e.g. an artist or journalist</t>
  </si>
  <si>
    <t>The number of graduates employed part-time (less than 30 hours per week) as freelance - someone who develops his own project, completes it, and sells it to a client, e.g. an artist or journalist</t>
  </si>
  <si>
    <t># Fellowship or Postdoctoral program FT</t>
  </si>
  <si>
    <t># Fellowship or Postdoctoral program PT</t>
  </si>
  <si>
    <t># Faculty Non-Tenure Track</t>
  </si>
  <si>
    <t># Faculty Tenure Track</t>
  </si>
  <si>
    <t>The number of graduates in service programs (e.g. Peace Corps, AmeriCorps, etc.)</t>
  </si>
  <si>
    <t># Military Service</t>
  </si>
  <si>
    <t>The number of graduates enrolled in continuing education (includes certification programs as well as degree programs)</t>
  </si>
  <si>
    <t>The number of graduates seeking employment (should not include any graduate currently employed or enrolled in an educational program)</t>
  </si>
  <si>
    <t>The number of graduates seeking continuing education (should not include any graduate currently employed or enrolled in an educational program)</t>
  </si>
  <si>
    <t xml:space="preserve">Enter aggregated outcomes for graduates in Associate Degree academic programs. </t>
  </si>
  <si>
    <t xml:space="preserve">Enter aggregated outcomes for graduates in Bachelor Degree academic programs. </t>
  </si>
  <si>
    <t xml:space="preserve">Enter aggregated outcomes for graduates in Master's Degree academic programs. </t>
  </si>
  <si>
    <t xml:space="preserve">Enter aggregated outcomes for graduates in Doctoral Degree academic programs. </t>
  </si>
  <si>
    <t>Institution Name</t>
  </si>
  <si>
    <t>Associate's Summary</t>
  </si>
  <si>
    <t>Bachelor's Summary</t>
  </si>
  <si>
    <t>Master's Summary</t>
  </si>
  <si>
    <t>Program Data - Bachelor's</t>
  </si>
  <si>
    <t>Program Data - Associate's</t>
  </si>
  <si>
    <t>Program Data - Master's</t>
  </si>
  <si>
    <t>Program Data - Doctoral</t>
  </si>
  <si>
    <t>Definitions</t>
  </si>
  <si>
    <t>Questions?</t>
  </si>
  <si>
    <r>
      <rPr>
        <sz val="12"/>
        <rFont val="Calibri"/>
        <family val="2"/>
      </rPr>
      <t xml:space="preserve">EMAIL ADDRESS: </t>
    </r>
    <r>
      <rPr>
        <sz val="12"/>
        <color indexed="12"/>
        <rFont val="Calibri"/>
        <family val="2"/>
      </rPr>
      <t>research@naceweb.org</t>
    </r>
  </si>
  <si>
    <r>
      <t xml:space="preserve">SUBJECT LINE: </t>
    </r>
    <r>
      <rPr>
        <sz val="12"/>
        <color indexed="12"/>
        <rFont val="Calibri"/>
        <family val="2"/>
      </rPr>
      <t xml:space="preserve">NACE First-Destination Survey: Data from </t>
    </r>
    <r>
      <rPr>
        <sz val="12"/>
        <color indexed="10"/>
        <rFont val="Calibri"/>
        <family val="2"/>
      </rPr>
      <t>&lt;insert your school name&gt;</t>
    </r>
  </si>
  <si>
    <t>Here is the list of tabs available in this spreadsheet:</t>
  </si>
  <si>
    <t>If you have any questions on the use of this template, please contact NACE Research at:</t>
  </si>
  <si>
    <r>
      <rPr>
        <sz val="12"/>
        <rFont val="Calibri"/>
        <family val="2"/>
      </rPr>
      <t>EMAIL:</t>
    </r>
    <r>
      <rPr>
        <sz val="12"/>
        <color indexed="12"/>
        <rFont val="Calibri"/>
        <family val="2"/>
      </rPr>
      <t xml:space="preserve"> research@naceweb.org</t>
    </r>
  </si>
  <si>
    <r>
      <t xml:space="preserve">PHONE: </t>
    </r>
    <r>
      <rPr>
        <sz val="12"/>
        <color indexed="12"/>
        <rFont val="Calibri"/>
        <family val="2"/>
      </rPr>
      <t>610.625.1025</t>
    </r>
  </si>
  <si>
    <t>To submit your data, email your completed file to:</t>
  </si>
  <si>
    <t>Thank you for participating in this year's First-Destination Survey!</t>
  </si>
  <si>
    <t xml:space="preserve">CIP Code </t>
  </si>
  <si>
    <t>Example: 14.02</t>
  </si>
  <si>
    <t>CIP Code</t>
  </si>
  <si>
    <t>The (CIP) Classification of Instructional Programs is a code system of instructional programs with the purpose to facilitate the organization, collection, and reporting of fields of study and program completions. Most of the CIP titles correspond to academic and occupational instructional programs offered for credit at the postsecondary level. For a current list, go to https://nces.ed.gov/ipeds/cipcode</t>
  </si>
  <si>
    <t>CIPFamily</t>
  </si>
  <si>
    <t>CIPCode</t>
  </si>
  <si>
    <t>CIPTitle</t>
  </si>
  <si>
    <t>Agriculture, General.</t>
  </si>
  <si>
    <t>Agricultural Business and Management.</t>
  </si>
  <si>
    <t>Agricultural Business and Management, General.</t>
  </si>
  <si>
    <t>Agribusiness/Agricultural Business Operations.</t>
  </si>
  <si>
    <t>Agricultural Economics.</t>
  </si>
  <si>
    <t>Farm/Farm and Ranch Management.</t>
  </si>
  <si>
    <t>Agricultural/Farm Supplies Retailing and Wholesaling.</t>
  </si>
  <si>
    <t>Agricultural Business and Management, Other.</t>
  </si>
  <si>
    <t>Agricultural Mechanization.</t>
  </si>
  <si>
    <t>Agricultural Mechanization, General.</t>
  </si>
  <si>
    <t>Agricultural Power Machinery Operation.</t>
  </si>
  <si>
    <t>Agricultural Mechanization, Other.</t>
  </si>
  <si>
    <t>Agricultural Production Operations.</t>
  </si>
  <si>
    <t>Agricultural Production Operations, General.</t>
  </si>
  <si>
    <t>Animal/Livestock Husbandry and Production.</t>
  </si>
  <si>
    <t>Aquaculture.</t>
  </si>
  <si>
    <t>Crop Production.</t>
  </si>
  <si>
    <t>Dairy Husbandry and Production.</t>
  </si>
  <si>
    <t>Horse Husbandry/Equine Science and Management.</t>
  </si>
  <si>
    <t>Agroecology and Sustainable Agriculture.</t>
  </si>
  <si>
    <t>Viticulture and Enology.</t>
  </si>
  <si>
    <t>Agricultural Production Operations, Other.</t>
  </si>
  <si>
    <t>Agricultural and Food Products Processing.</t>
  </si>
  <si>
    <t>Agricultural and Domestic Animal Services.</t>
  </si>
  <si>
    <t>Dog/Pet/Animal Grooming.</t>
  </si>
  <si>
    <t>Animal Training.</t>
  </si>
  <si>
    <t>Equestrian/Equine Studies.</t>
  </si>
  <si>
    <t>Taxidermy/Taxidermist.</t>
  </si>
  <si>
    <t>Agricultural and Domestic Animal Services, Other.</t>
  </si>
  <si>
    <t>Applied Horticulture and Horticultural Business Services.</t>
  </si>
  <si>
    <t>Applied Horticulture/Horticulture Operations, General.</t>
  </si>
  <si>
    <t>Ornamental Horticulture.</t>
  </si>
  <si>
    <t>Greenhouse Operations and Management.</t>
  </si>
  <si>
    <t>Landscaping and Groundskeeping.</t>
  </si>
  <si>
    <t>Plant Nursery Operations and Management.</t>
  </si>
  <si>
    <t>Turf and Turfgrass Management.</t>
  </si>
  <si>
    <t>Floriculture/Floristry Operations and Management.</t>
  </si>
  <si>
    <t>Applied Horticulture/Horticultural Business Services, Other.</t>
  </si>
  <si>
    <t>International Agriculture.</t>
  </si>
  <si>
    <t>Agricultural Public Services.</t>
  </si>
  <si>
    <t>Agricultural and Extension Education Services.</t>
  </si>
  <si>
    <t>Agricultural Communication/Journalism.</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</si>
  <si>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</si>
  <si>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</si>
  <si>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</si>
  <si>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</si>
  <si>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</si>
  <si>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</si>
  <si>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</si>
  <si>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</si>
  <si>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</si>
  <si>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</si>
  <si>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</si>
  <si>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</si>
  <si>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</si>
  <si>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</si>
  <si>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</si>
  <si>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</si>
  <si>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</si>
  <si>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</si>
  <si>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</si>
  <si>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</si>
  <si>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</si>
  <si>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</si>
  <si>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</si>
  <si>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</si>
  <si>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</si>
  <si>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</si>
  <si>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</si>
  <si>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NATURAL RESOURCES AND CONSERVATION.</t>
  </si>
  <si>
    <t>Natural Resources Conservation and Research.</t>
  </si>
  <si>
    <t>Natural Resources/Conservation, General.</t>
  </si>
  <si>
    <t>Environmental Studies.</t>
  </si>
  <si>
    <t>Environmental Science.</t>
  </si>
  <si>
    <t>Natural Resources Conservation and Research, Other.</t>
  </si>
  <si>
    <t>Water, Wetlands, and Marine Resources Management.</t>
  </si>
  <si>
    <t>Land Use Planning and Management/Development.</t>
  </si>
  <si>
    <t>Fishing and Fisheries Sciences and Management.</t>
  </si>
  <si>
    <t>Forestry.</t>
  </si>
  <si>
    <t>Forestry, General.</t>
  </si>
  <si>
    <t>Forest Sciences and Biology.</t>
  </si>
  <si>
    <t>Forest Management/Forest Resources Management.</t>
  </si>
  <si>
    <t>Urban Forestry.</t>
  </si>
  <si>
    <t>Forest Resources Production and Management.</t>
  </si>
  <si>
    <t>Forest Technology/Technician.</t>
  </si>
  <si>
    <t>Forestry, Other.</t>
  </si>
  <si>
    <t>Wildlife and Wildlands Science and Management.</t>
  </si>
  <si>
    <t>Natural Resources and Conservation, Other.</t>
  </si>
  <si>
    <t>ARCHITECTURE AND RELATED SERVICES.</t>
  </si>
  <si>
    <t>Architecture.</t>
  </si>
  <si>
    <t>Environmental Design.</t>
  </si>
  <si>
    <t>Interior Architecture.</t>
  </si>
  <si>
    <t>Landscape Architecture.</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</si>
  <si>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</si>
  <si>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</si>
  <si>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</si>
  <si>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</si>
  <si>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</si>
  <si>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</si>
  <si>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ETHNIC, CULTURAL, GENDER, AND GROUP STUDIES.</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</si>
  <si>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</si>
  <si>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</si>
  <si>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</si>
  <si>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</si>
  <si>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</si>
  <si>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</si>
  <si>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</si>
  <si>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</si>
  <si>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</si>
  <si>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</si>
  <si>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</si>
  <si>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</si>
  <si>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</si>
  <si>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</si>
  <si>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</si>
  <si>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</si>
  <si>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</si>
  <si>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</si>
  <si>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</si>
  <si>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</si>
  <si>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</si>
  <si>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</si>
  <si>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</si>
  <si>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</si>
  <si>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</si>
  <si>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</si>
  <si>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</si>
  <si>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</si>
  <si>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</si>
  <si>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</si>
  <si>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</si>
  <si>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</si>
  <si>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</si>
  <si>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</si>
  <si>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</si>
  <si>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</si>
  <si>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</si>
  <si>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</si>
  <si>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</si>
  <si>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</si>
  <si>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</si>
  <si>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</si>
  <si>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</si>
  <si>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</si>
  <si>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</si>
  <si>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</si>
  <si>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Ethnic, Cultural Minority, Gender, and Group Studies, Other.</t>
  </si>
  <si>
    <t>COMMUNICATION, JOURNALISM, AND RELATED PROGRAMS.</t>
  </si>
  <si>
    <t>Communication and Media Studies.</t>
  </si>
  <si>
    <t>Communication, General.</t>
  </si>
  <si>
    <t>Speech Communication and Rhetoric.</t>
  </si>
  <si>
    <t>Mass Communication/Media Studies.</t>
  </si>
  <si>
    <t>Communication and Media Studies, Other.</t>
  </si>
  <si>
    <t>Journalism.</t>
  </si>
  <si>
    <t>Broadcast Journalism.</t>
  </si>
  <si>
    <t>Photojournalism.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</si>
  <si>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</si>
  <si>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</si>
  <si>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</si>
  <si>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</si>
  <si>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</si>
  <si>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</si>
  <si>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</si>
  <si>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</si>
  <si>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</si>
  <si>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</si>
  <si>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</si>
  <si>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</si>
  <si>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</si>
  <si>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</si>
  <si>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Publishing.</t>
  </si>
  <si>
    <t>Communication, Journalism, and Related Programs, Other.</t>
  </si>
  <si>
    <t>COMMUNICATIONS TECHNOLOGIES/TECHNICIANS AND SUPPORT SERVICES.</t>
  </si>
  <si>
    <t>Communications Technology/Technician.</t>
  </si>
  <si>
    <t>Audiovisual Communications Technologies/Technicians.</t>
  </si>
  <si>
    <t>Radio and Television Broadcasting Technology/Technician.</t>
  </si>
  <si>
    <t>Recording Arts Technology/Technician.</t>
  </si>
  <si>
    <t>Audiovisual Communications Technologies/Technicians, Other.</t>
  </si>
  <si>
    <t>Graphic Communications.</t>
  </si>
  <si>
    <t>Graphic Communications, General.</t>
  </si>
  <si>
    <t>Printing Management.</t>
  </si>
  <si>
    <t>Prepress/Desktop Publishing and Digital Imaging Design.</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</si>
  <si>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</si>
  <si>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</si>
  <si>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</si>
  <si>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</si>
  <si>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</si>
  <si>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</si>
  <si>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AND SUPPORT SERVICES.</t>
  </si>
  <si>
    <t>Computer and Information Sciences, General.</t>
  </si>
  <si>
    <t>Artificial Intelligence.</t>
  </si>
  <si>
    <t>Information Technology.</t>
  </si>
  <si>
    <t>Informatics.</t>
  </si>
  <si>
    <t>Computer and Information Sciences,  Other.</t>
  </si>
  <si>
    <t>Computer Programming.</t>
  </si>
  <si>
    <t>Computer Programming/Programmer, General.</t>
  </si>
  <si>
    <t>Computer Programming, Specific Applications.</t>
  </si>
  <si>
    <t>Computer Programming, Vendor/Product Certification.</t>
  </si>
  <si>
    <t>Computer Programming, Other.</t>
  </si>
  <si>
    <t>Data Processing.</t>
  </si>
  <si>
    <t>Information Science/Studies.</t>
  </si>
  <si>
    <t>Computer Systems Analysis.</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</si>
  <si>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</si>
  <si>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</si>
  <si>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</si>
  <si>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</si>
  <si>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</si>
  <si>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</si>
  <si>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</si>
  <si>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</si>
  <si>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</si>
  <si>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</si>
  <si>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</si>
  <si>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</si>
  <si>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Computer/Information Technology Administration and Management.</t>
  </si>
  <si>
    <t>Network and System Administration/Administrator.</t>
  </si>
  <si>
    <t>System, Networking, and LAN/WAN Management/Manager.</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</si>
  <si>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</si>
  <si>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</si>
  <si>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</si>
  <si>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</si>
  <si>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</si>
  <si>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</si>
  <si>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</si>
  <si>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</si>
  <si>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</si>
  <si>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</si>
  <si>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</si>
  <si>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</si>
  <si>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</si>
  <si>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</si>
  <si>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</si>
  <si>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</si>
  <si>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</si>
  <si>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</si>
  <si>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</si>
  <si>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</si>
  <si>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</si>
  <si>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</si>
  <si>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</si>
  <si>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</si>
  <si>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</si>
  <si>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</si>
  <si>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</si>
  <si>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</si>
  <si>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</si>
  <si>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</si>
  <si>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</si>
  <si>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</si>
  <si>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</si>
  <si>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</si>
  <si>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</si>
  <si>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</si>
  <si>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</si>
  <si>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EDUCATION.</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</si>
  <si>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</si>
  <si>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</si>
  <si>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</si>
  <si>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</si>
  <si>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</si>
  <si>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</si>
  <si>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</si>
  <si>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</si>
  <si>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</si>
  <si>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</si>
  <si>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</si>
  <si>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</si>
  <si>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</si>
  <si>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Elementary and Middle School Administration/Principalship.</t>
  </si>
  <si>
    <t>Secondary School Administration/Principalship.</t>
  </si>
  <si>
    <t>Urban Education and Leadership.</t>
  </si>
  <si>
    <t>Superintendency and Educational System Administration.</t>
  </si>
  <si>
    <t>Educational Administration and Supervision, Other.</t>
  </si>
  <si>
    <t>Educational/Instructional Media Design.</t>
  </si>
  <si>
    <t>Educational Assessment, Evaluation, and Research.</t>
  </si>
  <si>
    <t>Educational Evaluation and Research.</t>
  </si>
  <si>
    <t>Educational Statistics and Research Methods.</t>
  </si>
  <si>
    <t>Educational Assessment, Testing, and Measurement.</t>
  </si>
  <si>
    <t>Learning Sciences.</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</si>
  <si>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</si>
  <si>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</si>
  <si>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</si>
  <si>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</si>
  <si>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</si>
  <si>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</si>
  <si>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</si>
  <si>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</si>
  <si>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</si>
  <si>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</si>
  <si>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</si>
  <si>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</si>
  <si>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</si>
  <si>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</si>
  <si>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</si>
  <si>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</si>
  <si>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</si>
  <si>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</si>
  <si>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</si>
  <si>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</si>
  <si>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</si>
  <si>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</si>
  <si>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</si>
  <si>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</si>
  <si>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</si>
  <si>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</si>
  <si>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</si>
  <si>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</si>
  <si>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</si>
  <si>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</si>
  <si>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</si>
  <si>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</si>
  <si>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</si>
  <si>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</si>
  <si>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</si>
  <si>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Teacher Education and Professional Development, Specific Levels and Methods, Other.</t>
  </si>
  <si>
    <t>Teacher Education and Professional Development, Specific Subject Areas.</t>
  </si>
  <si>
    <t>Agricultural Teacher Education.</t>
  </si>
  <si>
    <t>Art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</si>
  <si>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</si>
  <si>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</si>
  <si>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</si>
  <si>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</si>
  <si>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</si>
  <si>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</si>
  <si>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</si>
  <si>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</si>
  <si>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</si>
  <si>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</si>
  <si>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</si>
  <si>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</si>
  <si>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</si>
  <si>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</si>
  <si>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</si>
  <si>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</si>
  <si>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</si>
  <si>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</si>
  <si>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</si>
  <si>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</si>
  <si>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</si>
  <si>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</si>
  <si>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</si>
  <si>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</si>
  <si>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</si>
  <si>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</si>
  <si>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</si>
  <si>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</si>
  <si>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</si>
  <si>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</si>
  <si>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</si>
  <si>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</si>
  <si>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</si>
  <si>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</si>
  <si>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</si>
  <si>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</si>
  <si>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</si>
  <si>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</si>
  <si>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</si>
  <si>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</si>
  <si>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</si>
  <si>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</si>
  <si>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</si>
  <si>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t>
  </si>
  <si>
    <t>Engineering, General.</t>
  </si>
  <si>
    <t>Pre-Engineering.</t>
  </si>
  <si>
    <t>Agricultural Engineering.</t>
  </si>
  <si>
    <t>Architectural Engineering.</t>
  </si>
  <si>
    <t>Biomedical/Medical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</si>
  <si>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</si>
  <si>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</si>
  <si>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</si>
  <si>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</si>
  <si>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</si>
  <si>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</si>
  <si>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</si>
  <si>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</si>
  <si>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</si>
  <si>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</si>
  <si>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</si>
  <si>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</si>
  <si>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</si>
  <si>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</si>
  <si>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</si>
  <si>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</si>
  <si>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Laser and Optical Engineering.</t>
  </si>
  <si>
    <t>Telecommunications Engineering.</t>
  </si>
  <si>
    <t>Engineering Mechanics.</t>
  </si>
  <si>
    <t>Engineering Physics.</t>
  </si>
  <si>
    <t>Engineering Science.</t>
  </si>
  <si>
    <t>Environmental/Environmental Health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</si>
  <si>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</si>
  <si>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</si>
  <si>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</si>
  <si>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</si>
  <si>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</si>
  <si>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</si>
  <si>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</si>
  <si>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</si>
  <si>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</si>
  <si>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Materials Science.</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</si>
  <si>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</si>
  <si>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</si>
  <si>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</si>
  <si>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</si>
  <si>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</si>
  <si>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</si>
  <si>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</si>
  <si>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</si>
  <si>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</si>
  <si>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</si>
  <si>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</si>
  <si>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</si>
  <si>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</si>
  <si>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</si>
  <si>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Engineering, Other.</t>
  </si>
  <si>
    <t>Architectural Engineering Technologies/Technicians.</t>
  </si>
  <si>
    <t>Civil Engineering Technologies/Technicians.</t>
  </si>
  <si>
    <t>Laser and Optical Technology/Technician.</t>
  </si>
  <si>
    <t>Telecommunications Technology/Technician.</t>
  </si>
  <si>
    <t>Biomedical Technology/Technician.</t>
  </si>
  <si>
    <t>Instrumentation Technology/Technician.</t>
  </si>
  <si>
    <t>Robotics Technology/Technician.</t>
  </si>
  <si>
    <t>Automation Engineer Technology/Technician.</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</si>
  <si>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</si>
  <si>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</si>
  <si>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</si>
  <si>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</si>
  <si>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</si>
  <si>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</si>
  <si>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</si>
  <si>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</si>
  <si>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</si>
  <si>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</si>
  <si>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</si>
  <si>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</si>
  <si>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</si>
  <si>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</si>
  <si>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</si>
  <si>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</si>
  <si>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</si>
  <si>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</si>
  <si>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</si>
  <si>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</si>
  <si>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</si>
  <si>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</si>
  <si>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</si>
  <si>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</si>
  <si>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</si>
  <si>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</si>
  <si>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</si>
  <si>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</si>
  <si>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</si>
  <si>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Surveying Technology/Surveying.</t>
  </si>
  <si>
    <t>Hydraulics and Fluid Power Technology/Technician.</t>
  </si>
  <si>
    <t>Computer Engineering Technologies/Technicians.</t>
  </si>
  <si>
    <t>Computer Engineering Technology/Technician.</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</si>
  <si>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</si>
  <si>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</si>
  <si>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</si>
  <si>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</si>
  <si>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</si>
  <si>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</si>
  <si>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</si>
  <si>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</si>
  <si>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</si>
  <si>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</si>
  <si>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Drafting/Design Engineering Technologies/Technicians, Other.</t>
  </si>
  <si>
    <t>Engineering-Related Fields.</t>
  </si>
  <si>
    <t>Engineering/Industrial Management.</t>
  </si>
  <si>
    <t>Engineering Design.</t>
  </si>
  <si>
    <t>Packaging Science.</t>
  </si>
  <si>
    <t>Engineering-Related Fields, Other.</t>
  </si>
  <si>
    <t>Nanotechnology.</t>
  </si>
  <si>
    <t>FOREIGN LANGUAGES, LITERATURES, AND LINGUISTICS.</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</si>
  <si>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</si>
  <si>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</si>
  <si>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</si>
  <si>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</si>
  <si>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</si>
  <si>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</si>
  <si>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</si>
  <si>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</si>
  <si>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</si>
  <si>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</si>
  <si>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</si>
  <si>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</si>
  <si>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</si>
  <si>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</si>
  <si>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</si>
  <si>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</si>
  <si>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</si>
  <si>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</si>
  <si>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</si>
  <si>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</si>
  <si>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</si>
  <si>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</si>
  <si>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</si>
  <si>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</si>
  <si>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</si>
  <si>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</si>
  <si>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</si>
  <si>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</si>
  <si>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</si>
  <si>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</si>
  <si>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</si>
  <si>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</si>
  <si>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</si>
  <si>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</si>
  <si>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</si>
  <si>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</si>
  <si>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</si>
  <si>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</si>
  <si>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</si>
  <si>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</si>
  <si>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</si>
  <si>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</si>
  <si>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</si>
  <si>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</si>
  <si>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</si>
  <si>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</si>
  <si>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</si>
  <si>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</si>
  <si>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</si>
  <si>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</si>
  <si>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</si>
  <si>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</si>
  <si>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</si>
  <si>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</si>
  <si>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</si>
  <si>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</si>
  <si>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</si>
  <si>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</si>
  <si>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</si>
  <si>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</si>
  <si>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</si>
  <si>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</si>
  <si>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</si>
  <si>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</si>
  <si>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</si>
  <si>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</si>
  <si>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</si>
  <si>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</si>
  <si>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</si>
  <si>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</si>
  <si>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</si>
  <si>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</si>
  <si>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</si>
  <si>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</si>
  <si>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</si>
  <si>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</si>
  <si>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</si>
  <si>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</si>
  <si>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</si>
  <si>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</si>
  <si>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</si>
  <si>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</si>
  <si>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</si>
  <si>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</si>
  <si>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</si>
  <si>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</si>
  <si>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</si>
  <si>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</si>
  <si>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</si>
  <si>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</si>
  <si>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</si>
  <si>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</si>
  <si>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Foreign Languages, Literatures, and Linguistics, Other.</t>
  </si>
  <si>
    <t>FAMILY AND CONSUMER SCIENCES/HUMAN SCIENCES.</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</si>
  <si>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</si>
  <si>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</si>
  <si>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</si>
  <si>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</si>
  <si>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</si>
  <si>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</si>
  <si>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</si>
  <si>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</si>
  <si>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</si>
  <si>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</si>
  <si>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</si>
  <si>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</si>
  <si>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</si>
  <si>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</si>
  <si>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</si>
  <si>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</si>
  <si>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</si>
  <si>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</si>
  <si>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</si>
  <si>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</si>
  <si>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</si>
  <si>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</si>
  <si>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</si>
  <si>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</si>
  <si>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</si>
  <si>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</si>
  <si>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</si>
  <si>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</si>
  <si>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</si>
  <si>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</si>
  <si>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</si>
  <si>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</si>
  <si>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</si>
  <si>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</si>
  <si>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</si>
  <si>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</si>
  <si>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</si>
  <si>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</si>
  <si>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</si>
  <si>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</si>
  <si>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LEGAL PROFESSIONS AND STUDIES.</t>
  </si>
  <si>
    <t>Pre-Law Studies.</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</si>
  <si>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</si>
  <si>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</si>
  <si>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</si>
  <si>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</si>
  <si>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</si>
  <si>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</si>
  <si>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</si>
  <si>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</si>
  <si>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</si>
  <si>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</si>
  <si>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</si>
  <si>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</si>
  <si>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</si>
  <si>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</si>
  <si>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Legal Research and Advanced Professional Studies, Other.</t>
  </si>
  <si>
    <t>Legal Support Services.</t>
  </si>
  <si>
    <t>Legal Administrative Assistant/Secretary.</t>
  </si>
  <si>
    <t>Legal Assistant/Paralegal.</t>
  </si>
  <si>
    <t>Legal Support Services, Other.</t>
  </si>
  <si>
    <t>Legal Professions and Studies, Other.</t>
  </si>
  <si>
    <t>ENGLISH LANGUAGE AND LITERATURE/LETTERS.</t>
  </si>
  <si>
    <t>English Language and Literature, General.</t>
  </si>
  <si>
    <t>Creative Writing.</t>
  </si>
  <si>
    <t>American Literature (United States).</t>
  </si>
  <si>
    <t>American Literature (Canadian).</t>
  </si>
  <si>
    <t>English Literature (British and Commonwealth).</t>
  </si>
  <si>
    <t>Rhetoric and Composition/Writing Studies.</t>
  </si>
  <si>
    <t>Writing, General.</t>
  </si>
  <si>
    <t>Professional, Technical, Business, and Scientific Writing.</t>
  </si>
  <si>
    <t>Rhetoric and Composition.</t>
  </si>
  <si>
    <t>Rhetoric and Composition/Writing Studies, Other.</t>
  </si>
  <si>
    <t>Literature.</t>
  </si>
  <si>
    <t>General Literature.</t>
  </si>
  <si>
    <t>Children's and Adolescent Literature.</t>
  </si>
  <si>
    <t>Literature, Other.</t>
  </si>
  <si>
    <t>English Language and Literature/Letters, Other.</t>
  </si>
  <si>
    <t>LIBERAL ARTS AND SCIENCES, GENERAL STUDIES AND HUMANITIES.</t>
  </si>
  <si>
    <t>Liberal Arts and Sciences, General Studies and Humanities.</t>
  </si>
  <si>
    <t>Liberal Arts and Sciences/Liberal Studies.</t>
  </si>
  <si>
    <t>General Studies.</t>
  </si>
  <si>
    <t>Humanities/Humanistic Studies.</t>
  </si>
  <si>
    <t>Liberal Arts and Sciences, General Studies and Humanities, Other.</t>
  </si>
  <si>
    <t>LIBRARY SCIENCE.</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</si>
  <si>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</si>
  <si>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</si>
  <si>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</si>
  <si>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</si>
  <si>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</si>
  <si>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</si>
  <si>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</si>
  <si>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BIOLOGICAL AND BIOMEDICAL SCIENCES.</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</si>
  <si>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</si>
  <si>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</si>
  <si>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</si>
  <si>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</si>
  <si>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</si>
  <si>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</si>
  <si>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</si>
  <si>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</si>
  <si>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</si>
  <si>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</si>
  <si>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</si>
  <si>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</si>
  <si>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</si>
  <si>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</si>
  <si>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</si>
  <si>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</si>
  <si>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</si>
  <si>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</si>
  <si>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</si>
  <si>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</si>
  <si>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</si>
  <si>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</si>
  <si>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</si>
  <si>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Neuroanatomy.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</si>
  <si>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</si>
  <si>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</si>
  <si>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</si>
  <si>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</si>
  <si>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</si>
  <si>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</si>
  <si>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</si>
  <si>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</si>
  <si>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</si>
  <si>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</si>
  <si>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</si>
  <si>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</si>
  <si>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</si>
  <si>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</si>
  <si>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</si>
  <si>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</si>
  <si>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</si>
  <si>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</si>
  <si>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</si>
  <si>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</si>
  <si>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</si>
  <si>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</si>
  <si>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</si>
  <si>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</si>
  <si>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</si>
  <si>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</si>
  <si>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</si>
  <si>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</si>
  <si>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</si>
  <si>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</si>
  <si>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</si>
  <si>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</si>
  <si>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</si>
  <si>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</si>
  <si>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Vision Science/Physiological Optics.</t>
  </si>
  <si>
    <t>Pathology/Experimental Pathology.</t>
  </si>
  <si>
    <t>Oncology and Cancer Biology.</t>
  </si>
  <si>
    <t>Aerospace Physiology and Medicine.</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</si>
  <si>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</si>
  <si>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</si>
  <si>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</si>
  <si>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</si>
  <si>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</si>
  <si>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</si>
  <si>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</si>
  <si>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</si>
  <si>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</si>
  <si>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</si>
  <si>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</si>
  <si>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</si>
  <si>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</si>
  <si>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</si>
  <si>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</si>
  <si>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</si>
  <si>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</si>
  <si>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</si>
  <si>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</si>
  <si>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</si>
  <si>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</si>
  <si>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</si>
  <si>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</si>
  <si>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</si>
  <si>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</si>
  <si>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</si>
  <si>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</si>
  <si>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Ecology, Evolution, Systematics and Population Biology, Other.</t>
  </si>
  <si>
    <t>Molecular Medicine.</t>
  </si>
  <si>
    <t>Neurobiology and Neurosciences.</t>
  </si>
  <si>
    <t>Neuroscience.</t>
  </si>
  <si>
    <t>Neurobiology and Anatomy.</t>
  </si>
  <si>
    <t>Neurobiology and Behavior.</t>
  </si>
  <si>
    <t>Neurobiology and Neurosciences, Other.</t>
  </si>
  <si>
    <t>Biological and Biomedical Sciences, Other.</t>
  </si>
  <si>
    <t>MATHEMATICS AND STATISTICS.</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</si>
  <si>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</si>
  <si>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</si>
  <si>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</si>
  <si>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</si>
  <si>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</si>
  <si>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</si>
  <si>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</si>
  <si>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</si>
  <si>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</si>
  <si>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</si>
  <si>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</si>
  <si>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</si>
  <si>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</si>
  <si>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</si>
  <si>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</si>
  <si>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</si>
  <si>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</si>
  <si>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</si>
  <si>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</si>
  <si>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Mathematics and Statistics, Other.</t>
  </si>
  <si>
    <t>MILITARY SCIENCE, LEADERSHIP AND OPERATIONAL ART.</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</si>
  <si>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</si>
  <si>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</si>
  <si>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</si>
  <si>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</si>
  <si>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</si>
  <si>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</si>
  <si>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</si>
  <si>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</si>
  <si>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</si>
  <si>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</si>
  <si>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</si>
  <si>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</si>
  <si>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</si>
  <si>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</si>
  <si>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</si>
  <si>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</si>
  <si>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</si>
  <si>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</si>
  <si>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</si>
  <si>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</si>
  <si>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</si>
  <si>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</si>
  <si>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</si>
  <si>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</si>
  <si>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</si>
  <si>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</si>
  <si>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</si>
  <si>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</si>
  <si>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</si>
  <si>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</si>
  <si>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MILITARY TECHNOLOGIES AND APPLIED SCIENCES.</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</si>
  <si>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</si>
  <si>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</si>
  <si>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</si>
  <si>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</si>
  <si>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</si>
  <si>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</si>
  <si>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</si>
  <si>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</si>
  <si>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</si>
  <si>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</si>
  <si>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</si>
  <si>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</si>
  <si>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</si>
  <si>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</si>
  <si>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</si>
  <si>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</si>
  <si>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</si>
  <si>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</si>
  <si>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</si>
  <si>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</si>
  <si>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</si>
  <si>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</si>
  <si>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</si>
  <si>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</si>
  <si>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</si>
  <si>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</si>
  <si>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</si>
  <si>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</si>
  <si>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</si>
  <si>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Technologies and Applied Sciences, Other.</t>
  </si>
  <si>
    <t>MULTI/INTERDISCIPLINARY STUDIES.</t>
  </si>
  <si>
    <t>Multi-/Interdisciplinary Studies, General.</t>
  </si>
  <si>
    <t>Biological and Physical Sciences.</t>
  </si>
  <si>
    <t>Peace Studies and Conflict Resolution.</t>
  </si>
  <si>
    <t>Systems Science and Theory.</t>
  </si>
  <si>
    <t>Mathematics and Computer Science.</t>
  </si>
  <si>
    <t>Biopsychology.</t>
  </si>
  <si>
    <t>Gerontology.</t>
  </si>
  <si>
    <t>Historic Preservation and Conservation.</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</si>
  <si>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</si>
  <si>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</si>
  <si>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</si>
  <si>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</si>
  <si>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</si>
  <si>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</si>
  <si>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</si>
  <si>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</si>
  <si>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</si>
  <si>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Holocaust and Related Studies.</t>
  </si>
  <si>
    <t>Classical and Ancient Studies.</t>
  </si>
  <si>
    <t>Ancient Studies/Civilization.</t>
  </si>
  <si>
    <t>Intercultural/Multicultural and Diversity Studies.</t>
  </si>
  <si>
    <t>Cognitive Science.</t>
  </si>
  <si>
    <t>Cultural Studies/Critical Theory and Analysis.</t>
  </si>
  <si>
    <t>Human Biology.</t>
  </si>
  <si>
    <t>Dispute Resolution.</t>
  </si>
  <si>
    <t>Maritime Studies.</t>
  </si>
  <si>
    <t>Computational Science.</t>
  </si>
  <si>
    <t>Human Computer Interaction.</t>
  </si>
  <si>
    <t>Marine Sciences.</t>
  </si>
  <si>
    <t>Sustainability Studies.</t>
  </si>
  <si>
    <t>Multi/Interdisciplinary Studies, Other.</t>
  </si>
  <si>
    <t>Golf Course Operation and Grounds Management.</t>
  </si>
  <si>
    <t>Sport and Fitness Administration/Management.</t>
  </si>
  <si>
    <t>Physical Fitness Technician.</t>
  </si>
  <si>
    <t>Sports Studies.</t>
  </si>
  <si>
    <t>Outdoor Education.</t>
  </si>
  <si>
    <t>BASIC SKILLS AND DEVELOPMENTAL/REMEDIAL EDUCATION.</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</si>
  <si>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</si>
  <si>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</si>
  <si>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</si>
  <si>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</si>
  <si>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</si>
  <si>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</si>
  <si>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Second Language Learning.</t>
  </si>
  <si>
    <t>Basic Computer Skills.</t>
  </si>
  <si>
    <t>Workforce Development and Training.</t>
  </si>
  <si>
    <t>Basic Skills and Developmental/Remedial Education, Other.</t>
  </si>
  <si>
    <t>CITIZENSHIP ACTIVITIES.</t>
  </si>
  <si>
    <t>Citizenship Activities.</t>
  </si>
  <si>
    <t>Citizenship Activities, General.</t>
  </si>
  <si>
    <t>American Citizenship Education.</t>
  </si>
  <si>
    <t>Community Awareness.</t>
  </si>
  <si>
    <t>Community Involvement.</t>
  </si>
  <si>
    <t>Canadian Citizenship Education.</t>
  </si>
  <si>
    <t>Citizenship Activities, Other.</t>
  </si>
  <si>
    <t>HEALTH-RELATED KNOWLEDGE AND SKILLS.</t>
  </si>
  <si>
    <t>Health-Related Knowledge and Skills.</t>
  </si>
  <si>
    <t>Birthing and Parenting Knowledge and Skills.</t>
  </si>
  <si>
    <t>Personal Health Improvement and Maintenance.</t>
  </si>
  <si>
    <t>Addiction Prevention and Treatment.</t>
  </si>
  <si>
    <t>Health-Related Knowledge and Skills, Other.</t>
  </si>
  <si>
    <t>INTERPERSONAL AND SOCIAL SKILLS.</t>
  </si>
  <si>
    <t>Interpersonal and Social Skills.</t>
  </si>
  <si>
    <t>Interpersonal and Social Skills, General.</t>
  </si>
  <si>
    <t>Interpersonal Relationships Skills.</t>
  </si>
  <si>
    <t>Business and Social Skills.</t>
  </si>
  <si>
    <t>Interpersonal Social Skills, Other.</t>
  </si>
  <si>
    <t>LEISURE AND RECREATIONAL ACTIVITIES.</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</si>
  <si>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</si>
  <si>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</si>
  <si>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</si>
  <si>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</si>
  <si>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</si>
  <si>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</si>
  <si>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</si>
  <si>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</si>
  <si>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</si>
  <si>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</si>
  <si>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</si>
  <si>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</si>
  <si>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</si>
  <si>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</si>
  <si>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</si>
  <si>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</si>
  <si>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</si>
  <si>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</si>
  <si>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</si>
  <si>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Leisure and Recreational Activities, Other.</t>
  </si>
  <si>
    <t>PERSONAL AWARENESS AND SELF-IMPROVEMENT.</t>
  </si>
  <si>
    <t>Personal Awareness and Self-Improvement.</t>
  </si>
  <si>
    <t>Self-Awareness and Personal Assessment.</t>
  </si>
  <si>
    <t>Stress Management and Coping Skills.</t>
  </si>
  <si>
    <t>Personal Decision-Making Skills.</t>
  </si>
  <si>
    <t>Self-Esteem and Values Clarification.</t>
  </si>
  <si>
    <t>Personal Awareness and Self-Improvement, Other.</t>
  </si>
  <si>
    <t>PHILOSOPHY AND RELIGIOUS STUDIES.</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</si>
  <si>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</si>
  <si>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</si>
  <si>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</si>
  <si>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</si>
  <si>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</si>
  <si>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</si>
  <si>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</si>
  <si>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</si>
  <si>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</si>
  <si>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</si>
  <si>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</si>
  <si>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</si>
  <si>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Religion/Religious Studies, Other.</t>
  </si>
  <si>
    <t>Philosophy and Religious Studies, Other.</t>
  </si>
  <si>
    <t>THEOLOGY AND RELIGIOUS VOCATIONS.</t>
  </si>
  <si>
    <t>Bible/Biblical Studies.</t>
  </si>
  <si>
    <t>Missions/Missionary Studies and Missiology.</t>
  </si>
  <si>
    <t>Religious Education.</t>
  </si>
  <si>
    <t>Religious/Sacred Music.</t>
  </si>
  <si>
    <t>Theological and Ministerial Studies.</t>
  </si>
  <si>
    <t>Theology/Theological Studies.</t>
  </si>
  <si>
    <t>Divinity/Ministry.</t>
  </si>
  <si>
    <t>Pre-Theology/Pre-Ministerial Studies.</t>
  </si>
  <si>
    <t>Rabbinical Studies.</t>
  </si>
  <si>
    <t>Talmudic Studies.</t>
  </si>
  <si>
    <t>Theological and Ministerial Studies, Other.</t>
  </si>
  <si>
    <t>Pastoral Counseling and Specialized Ministries.</t>
  </si>
  <si>
    <t>Pastoral Studies/Counseling.</t>
  </si>
  <si>
    <t>Youth Ministry.</t>
  </si>
  <si>
    <t>Urban Ministry.</t>
  </si>
  <si>
    <t>Women's Ministry.</t>
  </si>
  <si>
    <t>Lay Ministry.</t>
  </si>
  <si>
    <t>Pastoral Counseling and Specialized Ministries, Other.</t>
  </si>
  <si>
    <t>Theology and Religious Vocations, Other.</t>
  </si>
  <si>
    <t>PHYSICAL SCIENCES.</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</si>
  <si>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</si>
  <si>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</si>
  <si>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</si>
  <si>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</si>
  <si>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</si>
  <si>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</si>
  <si>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</si>
  <si>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</si>
  <si>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</si>
  <si>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</si>
  <si>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</si>
  <si>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</si>
  <si>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</si>
  <si>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</si>
  <si>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</si>
  <si>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</si>
  <si>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</si>
  <si>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</si>
  <si>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</si>
  <si>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</si>
  <si>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</si>
  <si>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</si>
  <si>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</si>
  <si>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</si>
  <si>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</si>
  <si>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</si>
  <si>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</si>
  <si>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</si>
  <si>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</si>
  <si>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</si>
  <si>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</si>
  <si>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</si>
  <si>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</si>
  <si>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</si>
  <si>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</si>
  <si>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</si>
  <si>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</si>
  <si>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</si>
  <si>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</si>
  <si>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</si>
  <si>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</si>
  <si>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</si>
  <si>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</si>
  <si>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</si>
  <si>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Chemistry.</t>
  </si>
  <si>
    <t>Materials Sciences, Other.</t>
  </si>
  <si>
    <t>Physical Sciences, Other.</t>
  </si>
  <si>
    <t>SCIENCE TECHNOLOGIES/TECHNICIANS.</t>
  </si>
  <si>
    <t>Science Technologies/Technicians, General.</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</si>
  <si>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</si>
  <si>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</si>
  <si>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</si>
  <si>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</si>
  <si>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</si>
  <si>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</si>
  <si>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</si>
  <si>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</si>
  <si>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</si>
  <si>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t>
  </si>
  <si>
    <t>Psychology, General.</t>
  </si>
  <si>
    <t>Clinical Psychology.</t>
  </si>
  <si>
    <t>Cognitive Psychology and Psycholinguistics.</t>
  </si>
  <si>
    <t>Community Psychology.</t>
  </si>
  <si>
    <t>Comparative Psychology.</t>
  </si>
  <si>
    <t>Counseling Psychology.</t>
  </si>
  <si>
    <t>Developmental and Child Psychology.</t>
  </si>
  <si>
    <t>Experimental Psychology.</t>
  </si>
  <si>
    <t>Industrial and Organizational Psychology.</t>
  </si>
  <si>
    <t>Personality Psychology.</t>
  </si>
  <si>
    <t>Social Psychology.</t>
  </si>
  <si>
    <t>School Psychology.</t>
  </si>
  <si>
    <t>Educational Psychology.</t>
  </si>
  <si>
    <t>Psychometrics and Quantitative Psychology.</t>
  </si>
  <si>
    <t>Clinical Child Psychology.</t>
  </si>
  <si>
    <t>Environmental Psychology.</t>
  </si>
  <si>
    <t>Geropsychology.</t>
  </si>
  <si>
    <t>Psychopharmacology.</t>
  </si>
  <si>
    <t>Family Psychology.</t>
  </si>
  <si>
    <t>Forensic Psychology.</t>
  </si>
  <si>
    <t>Research and Experimental Psychology.</t>
  </si>
  <si>
    <t>Research and Experimental Psychology, Other.</t>
  </si>
  <si>
    <t>Clinical, Counseling and Applied Psychology.</t>
  </si>
  <si>
    <t>Health/Medical Psychology.</t>
  </si>
  <si>
    <t>Applied Psychology.</t>
  </si>
  <si>
    <t>Applied Behavior Analysis.</t>
  </si>
  <si>
    <t>Clinical, Counseling and Applied Psychology, Other.</t>
  </si>
  <si>
    <t>Psychology, Other.</t>
  </si>
  <si>
    <t>HOMELAND SECURITY, LAW ENFORCEMENT, FIREFIGHTING AND RELATED PROTECTIVE SERVICES.</t>
  </si>
  <si>
    <t>Criminal Justice and Corrections.</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</si>
  <si>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</si>
  <si>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</si>
  <si>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</si>
  <si>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</si>
  <si>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</si>
  <si>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</si>
  <si>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</si>
  <si>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</si>
  <si>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</si>
  <si>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</si>
  <si>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</si>
  <si>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</si>
  <si>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</si>
  <si>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</si>
  <si>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</si>
  <si>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</si>
  <si>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</si>
  <si>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</si>
  <si>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</si>
  <si>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</si>
  <si>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</si>
  <si>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</si>
  <si>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</si>
  <si>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</si>
  <si>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</si>
  <si>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</si>
  <si>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</si>
  <si>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</si>
  <si>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</si>
  <si>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</si>
  <si>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</si>
  <si>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</si>
  <si>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</si>
  <si>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</si>
  <si>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Homeland Security, Law Enforcement, Firefighting and Related Protective Services, Other.</t>
  </si>
  <si>
    <t>PUBLIC ADMINISTRATION AND SOCIAL SERVICE PROFESSIONS.</t>
  </si>
  <si>
    <t>Human Services, General.</t>
  </si>
  <si>
    <t>Community Organization and Advocacy.</t>
  </si>
  <si>
    <t>Public Administration.</t>
  </si>
  <si>
    <t>Public Policy Analysis.</t>
  </si>
  <si>
    <t>Public Policy Analysis, General.</t>
  </si>
  <si>
    <t>Education Policy Analysis.</t>
  </si>
  <si>
    <t>Health Policy Analysis.</t>
  </si>
  <si>
    <t>International Policy Analysis.</t>
  </si>
  <si>
    <t>Public Policy Analysis, Other.</t>
  </si>
  <si>
    <t>Social Work.</t>
  </si>
  <si>
    <t>Youth Services/Administration.</t>
  </si>
  <si>
    <t>Social Work, Other.</t>
  </si>
  <si>
    <t>Public Administration and Social Service Professions, Other.</t>
  </si>
  <si>
    <t>SOCIAL SCIENCES.</t>
  </si>
  <si>
    <t>Social Sciences, General.</t>
  </si>
  <si>
    <t>Research Methodology and Quantitative Methods.</t>
  </si>
  <si>
    <t>Anthropology.</t>
  </si>
  <si>
    <t>Physical and Biological Anthropology.</t>
  </si>
  <si>
    <t>Medical Anthropology.</t>
  </si>
  <si>
    <t>Cultural Anthropology.</t>
  </si>
  <si>
    <t>Anthropology, Other.</t>
  </si>
  <si>
    <t>Archeology.</t>
  </si>
  <si>
    <t>Criminology.</t>
  </si>
  <si>
    <t>Demography and Population Studies.</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</si>
  <si>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</si>
  <si>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</si>
  <si>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</si>
  <si>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</si>
  <si>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</si>
  <si>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</si>
  <si>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</si>
  <si>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</si>
  <si>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</si>
  <si>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</si>
  <si>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</si>
  <si>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</si>
  <si>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</si>
  <si>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</si>
  <si>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</si>
  <si>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</si>
  <si>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</si>
  <si>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</si>
  <si>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</si>
  <si>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</si>
  <si>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</si>
  <si>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</si>
  <si>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Urban Studies/Affairs.</t>
  </si>
  <si>
    <t>Sociology and Anthropology.</t>
  </si>
  <si>
    <t>Rural Sociology.</t>
  </si>
  <si>
    <t>Social Sciences, Other.</t>
  </si>
  <si>
    <t>CONSTRUCTION TRADES.</t>
  </si>
  <si>
    <t>Construction Trades, General.</t>
  </si>
  <si>
    <t>Mason/Masonry.</t>
  </si>
  <si>
    <t>Carpenters.</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</si>
  <si>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</si>
  <si>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</si>
  <si>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</si>
  <si>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</si>
  <si>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</si>
  <si>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</si>
  <si>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</si>
  <si>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</si>
  <si>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</si>
  <si>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</si>
  <si>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</si>
  <si>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</si>
  <si>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</si>
  <si>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</si>
  <si>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</si>
  <si>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</si>
  <si>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</si>
  <si>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</si>
  <si>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</si>
  <si>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</si>
  <si>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</si>
  <si>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</si>
  <si>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</si>
  <si>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</si>
  <si>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</si>
  <si>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 AND REPAIR TECHNOLOGIES/TECHNICIANS.</t>
  </si>
  <si>
    <t>Mechanics and Repairers, General.</t>
  </si>
  <si>
    <t>Business Machine Repair.</t>
  </si>
  <si>
    <t>Computer Installation and Repair Technology/Technician.</t>
  </si>
  <si>
    <t>Industrial Electronics Technology/Technician.</t>
  </si>
  <si>
    <t>Appliance Installation and Repair Technology/Technician.</t>
  </si>
  <si>
    <t>Security System Installation, Repair, and Inspection Technology/Technician.</t>
  </si>
  <si>
    <t>Heating, Air Conditioning, Ventilation and Refrigeration Maintenance Technology/Technician (HAC, HACR, HVAC, HVACR).</t>
  </si>
  <si>
    <t>Heavy Equipment Maintenance Technology/Technician.</t>
  </si>
  <si>
    <t>Gunsmithing/Gunsmith.</t>
  </si>
  <si>
    <t>Locksmithing and Safe Repair.</t>
  </si>
  <si>
    <t>Musical Instrument Fabrication and Repair.</t>
  </si>
  <si>
    <t>Watchmaking and Jewelrymaking.</t>
  </si>
  <si>
    <t>Parts and Warehousing Operations and Maintenance Technology/Technician.</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</si>
  <si>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</si>
  <si>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</si>
  <si>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</si>
  <si>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</si>
  <si>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</si>
  <si>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</si>
  <si>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</si>
  <si>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</si>
  <si>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</si>
  <si>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</si>
  <si>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</si>
  <si>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</si>
  <si>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</si>
  <si>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</si>
  <si>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</si>
  <si>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 Service Technician.</t>
  </si>
  <si>
    <t>Mechanic and Repair Technologies/Technicians, Other.</t>
  </si>
  <si>
    <t>PRECISION PRODUCTION.</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</si>
  <si>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</si>
  <si>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</si>
  <si>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</si>
  <si>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</si>
  <si>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</si>
  <si>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</si>
  <si>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</si>
  <si>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</si>
  <si>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</si>
  <si>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</si>
  <si>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</si>
  <si>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</si>
  <si>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 Machinist Technology/CNC Machinist.</t>
  </si>
  <si>
    <t>Metal Fabricator.</t>
  </si>
  <si>
    <t>Precision Metal Working, Other.</t>
  </si>
  <si>
    <t>Woodworking.</t>
  </si>
  <si>
    <t>Woodworking, General.</t>
  </si>
  <si>
    <t>Furniture Design and Manufacturing.</t>
  </si>
  <si>
    <t>Cabinetmaking and Millwork.</t>
  </si>
  <si>
    <t>Woodworking, Other.</t>
  </si>
  <si>
    <t>Boilermaking/Boilermaker.</t>
  </si>
  <si>
    <t>Precision Production, Other.</t>
  </si>
  <si>
    <t>TRANSPORTATION AND MATERIALS MOVING.</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</si>
  <si>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</si>
  <si>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</si>
  <si>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</si>
  <si>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</si>
  <si>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</si>
  <si>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</si>
  <si>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</si>
  <si>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Air Transportation, Other.</t>
  </si>
  <si>
    <t>Ground Transportation.</t>
  </si>
  <si>
    <t>Construction/Heavy Equipment/Earthmoving Equipment Operation.</t>
  </si>
  <si>
    <t>Truck and Bus Driver/Commercial Vehicle Operator and Instructor.</t>
  </si>
  <si>
    <t>Flagging and Traffic Control.</t>
  </si>
  <si>
    <t>Railroad and Railway Transportation.</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</si>
  <si>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</si>
  <si>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</si>
  <si>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</si>
  <si>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</si>
  <si>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</si>
  <si>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</si>
  <si>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</si>
  <si>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</si>
  <si>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</si>
  <si>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</si>
  <si>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</si>
  <si>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</si>
  <si>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</si>
  <si>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</si>
  <si>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</si>
  <si>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</si>
  <si>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</si>
  <si>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</si>
  <si>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</si>
  <si>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</si>
  <si>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</si>
  <si>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</si>
  <si>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</si>
  <si>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</si>
  <si>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</si>
  <si>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</si>
  <si>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</si>
  <si>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</si>
  <si>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</si>
  <si>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</si>
  <si>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</si>
  <si>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</si>
  <si>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</si>
  <si>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Theatre/Theatre Arts Management.</t>
  </si>
  <si>
    <t>Musical Theatre.</t>
  </si>
  <si>
    <t>Costume Design.</t>
  </si>
  <si>
    <t>Dramatic/Theatre Arts and Stagecraft, Other.</t>
  </si>
  <si>
    <t>Film/Video and Photographic Arts.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</si>
  <si>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</si>
  <si>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</si>
  <si>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</si>
  <si>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</si>
  <si>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</si>
  <si>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</si>
  <si>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</si>
  <si>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</si>
  <si>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Drawing.</t>
  </si>
  <si>
    <t>Intermedia/Multimedia.</t>
  </si>
  <si>
    <t>Painting.</t>
  </si>
  <si>
    <t>Sculpture.</t>
  </si>
  <si>
    <t>Printmaking.</t>
  </si>
  <si>
    <t>Ceramic Arts and Ceramics.</t>
  </si>
  <si>
    <t>Fiber, Textile and Weaving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</si>
  <si>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</si>
  <si>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</si>
  <si>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</si>
  <si>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</si>
  <si>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</si>
  <si>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</si>
  <si>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</si>
  <si>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</si>
  <si>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</si>
  <si>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Jazz/Jazz Studies.</t>
  </si>
  <si>
    <t>Stringed Instruments.</t>
  </si>
  <si>
    <t>Music Pedagogy.</t>
  </si>
  <si>
    <t>Music Technology.</t>
  </si>
  <si>
    <t>Brass Instruments.</t>
  </si>
  <si>
    <t>Woodwind Instruments.</t>
  </si>
  <si>
    <t>Percussion Instruments.</t>
  </si>
  <si>
    <t>Music, Other.</t>
  </si>
  <si>
    <t>Fine and Studio Arts Management.</t>
  </si>
  <si>
    <t>Music Management.</t>
  </si>
  <si>
    <t>Arts, Entertainment, and Media Management, Other.</t>
  </si>
  <si>
    <t>Visual and Performing Arts, Other.</t>
  </si>
  <si>
    <t>HEALTH PROFESSIONS AND RELATED PROGRAMS.</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</si>
  <si>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</si>
  <si>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</si>
  <si>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</si>
  <si>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</si>
  <si>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</si>
  <si>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</si>
  <si>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</si>
  <si>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</si>
  <si>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</si>
  <si>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</si>
  <si>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</si>
  <si>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</si>
  <si>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</si>
  <si>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</si>
  <si>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</si>
  <si>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</si>
  <si>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</si>
  <si>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</si>
  <si>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</si>
  <si>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</si>
  <si>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</si>
  <si>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</si>
  <si>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</si>
  <si>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</si>
  <si>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</si>
  <si>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</si>
  <si>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</si>
  <si>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</si>
  <si>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</si>
  <si>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</si>
  <si>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</si>
  <si>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</si>
  <si>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</si>
  <si>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</si>
  <si>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</si>
  <si>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</si>
  <si>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</si>
  <si>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</si>
  <si>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</si>
  <si>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</si>
  <si>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</si>
  <si>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</si>
  <si>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</si>
  <si>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</si>
  <si>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</si>
  <si>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</si>
  <si>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</si>
  <si>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</si>
  <si>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Health and Medical Administrative Services, Other.</t>
  </si>
  <si>
    <t>Allied Health and Medical Assisting Services.</t>
  </si>
  <si>
    <t>Medical/Clinical Assistant.</t>
  </si>
  <si>
    <t>Clinical/Medical Laboratory Assistant.</t>
  </si>
  <si>
    <t>Occupational Therapist Assistant.</t>
  </si>
  <si>
    <t>Pharmacy Technician/Assistant.</t>
  </si>
  <si>
    <t>Veterinary/Animal Health Technology/Technician and Veterinary Assistant.</t>
  </si>
  <si>
    <t>Anesthesiologist Assistant.</t>
  </si>
  <si>
    <t>Emergency Care Attendant (EMT Ambulance).</t>
  </si>
  <si>
    <t>Pathology/Pathologist Assistant.</t>
  </si>
  <si>
    <t>Respiratory Therapy Technician/Assistant.</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</si>
  <si>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</si>
  <si>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</si>
  <si>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</si>
  <si>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</si>
  <si>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</si>
  <si>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</si>
  <si>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</si>
  <si>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</si>
  <si>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</si>
  <si>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</si>
  <si>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</si>
  <si>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</si>
  <si>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</si>
  <si>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</si>
  <si>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</si>
  <si>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</si>
  <si>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Athletic Training/Trainer.</t>
  </si>
  <si>
    <t>Gene/Genetic Therapy.</t>
  </si>
  <si>
    <t>Cardiopulmonary Technology/Technologist.</t>
  </si>
  <si>
    <t>Radiation Protection/Health Physics Technician.</t>
  </si>
  <si>
    <t>Polysomnography.</t>
  </si>
  <si>
    <t>Hearing Instrument Specialist.</t>
  </si>
  <si>
    <t>Magnetic Resonance Imaging (MRI) Technology/Technician.</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</si>
  <si>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</si>
  <si>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</si>
  <si>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</si>
  <si>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</si>
  <si>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</si>
  <si>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</si>
  <si>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</si>
  <si>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</si>
  <si>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</si>
  <si>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</si>
  <si>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</si>
  <si>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</si>
  <si>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</si>
  <si>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</si>
  <si>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</si>
  <si>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</si>
  <si>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</si>
  <si>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</si>
  <si>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</si>
  <si>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Pre-Veterinary Studies.</t>
  </si>
  <si>
    <t>Pre-Nursing Studies.</t>
  </si>
  <si>
    <t>Pre-Chiropractic Studies.</t>
  </si>
  <si>
    <t>Pre-Occupational Therapy Studies.</t>
  </si>
  <si>
    <t>Pre-Optometry Studies.</t>
  </si>
  <si>
    <t>Pre-Physical Therapy Studies.</t>
  </si>
  <si>
    <t>Health/Medical Preparatory Programs, Other.</t>
  </si>
  <si>
    <t>Medicine.</t>
  </si>
  <si>
    <t>Medical Clinical Sciences/Graduate Medical Studies.</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</si>
  <si>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</si>
  <si>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</si>
  <si>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</si>
  <si>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</si>
  <si>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</si>
  <si>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</si>
  <si>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</si>
  <si>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</si>
  <si>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</si>
  <si>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</si>
  <si>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Mental and Social Health Services and Allied Professions, Other.</t>
  </si>
  <si>
    <t>Adult Health Nurse/Nursing.</t>
  </si>
  <si>
    <t>Nurse Anesthetist.</t>
  </si>
  <si>
    <t>Maternal/Child Health and Neonatal Nurse/Nursing.</t>
  </si>
  <si>
    <t>Nurse Midwife/Nursing Midwifery.</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</si>
  <si>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</si>
  <si>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</si>
  <si>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</si>
  <si>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</si>
  <si>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</si>
  <si>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</si>
  <si>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</si>
  <si>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</si>
  <si>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</si>
  <si>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</si>
  <si>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</si>
  <si>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</si>
  <si>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</si>
  <si>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</si>
  <si>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Osteopathic Medicine/Osteopathy.</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</si>
  <si>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</si>
  <si>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</si>
  <si>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</si>
  <si>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</si>
  <si>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</si>
  <si>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</si>
  <si>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</si>
  <si>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</si>
  <si>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</si>
  <si>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</si>
  <si>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</si>
  <si>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</si>
  <si>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</si>
  <si>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Podiatric Medicine/Podiatry.</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</si>
  <si>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</si>
  <si>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</si>
  <si>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</si>
  <si>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</si>
  <si>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</si>
  <si>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</si>
  <si>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</si>
  <si>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</si>
  <si>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</si>
  <si>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</si>
  <si>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</si>
  <si>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Public Health, Other.</t>
  </si>
  <si>
    <t>Rehabilitation and Therapeutic Professions.</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</si>
  <si>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</si>
  <si>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</si>
  <si>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</si>
  <si>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</si>
  <si>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</si>
  <si>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</si>
  <si>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</si>
  <si>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</si>
  <si>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</si>
  <si>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</si>
  <si>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</si>
  <si>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</si>
  <si>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Rehabilitation and Therapeutic Professions, Other.</t>
  </si>
  <si>
    <t>Veterinary Medicine.</t>
  </si>
  <si>
    <t>Veterinary Biomedical and Clinical Sciences.</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</si>
  <si>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</si>
  <si>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</si>
  <si>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</si>
  <si>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</si>
  <si>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</si>
  <si>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</si>
  <si>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</si>
  <si>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</si>
  <si>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</si>
  <si>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</si>
  <si>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</si>
  <si>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</si>
  <si>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Health Aides/Attendants/Orderlies.</t>
  </si>
  <si>
    <t>Health Aide.</t>
  </si>
  <si>
    <t>Home Health Aide/Home Attendant.</t>
  </si>
  <si>
    <t>Medication Aide.</t>
  </si>
  <si>
    <t>Rehabilitation 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</si>
  <si>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</si>
  <si>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</si>
  <si>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</si>
  <si>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</si>
  <si>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</si>
  <si>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</si>
  <si>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</si>
  <si>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</si>
  <si>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</si>
  <si>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</si>
  <si>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</si>
  <si>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Bioethics/Medical Ethics.</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</si>
  <si>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</si>
  <si>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</si>
  <si>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</si>
  <si>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</si>
  <si>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</si>
  <si>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</si>
  <si>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</si>
  <si>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</si>
  <si>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</si>
  <si>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</si>
  <si>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</si>
  <si>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</si>
  <si>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</si>
  <si>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</si>
  <si>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</si>
  <si>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</si>
  <si>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</si>
  <si>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</si>
  <si>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</si>
  <si>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</si>
  <si>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</si>
  <si>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</si>
  <si>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</si>
  <si>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</si>
  <si>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</si>
  <si>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</si>
  <si>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</si>
  <si>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</si>
  <si>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</si>
  <si>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</si>
  <si>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Family Practice Nurse/Nursing.</t>
  </si>
  <si>
    <t>Nursing Science.</t>
  </si>
  <si>
    <t>Emergency Room/Trauma Nursing.</t>
  </si>
  <si>
    <t>Nursing Education.</t>
  </si>
  <si>
    <t>Nursing Practice.</t>
  </si>
  <si>
    <t>Palliative Care Nursing.</t>
  </si>
  <si>
    <t>Clinical Nurse Leader.</t>
  </si>
  <si>
    <t>Geriatric Nurse/Nursing.</t>
  </si>
  <si>
    <t>Women's Health Nurse/Nursing.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</si>
  <si>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</si>
  <si>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</si>
  <si>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</si>
  <si>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</si>
  <si>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</si>
  <si>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</si>
  <si>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 MANAGEMENT, MARKETING, AND RELATED SUPPORT SERVICES.</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</si>
  <si>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</si>
  <si>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</si>
  <si>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</si>
  <si>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</si>
  <si>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</si>
  <si>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</si>
  <si>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</si>
  <si>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</si>
  <si>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</si>
  <si>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</si>
  <si>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</si>
  <si>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</si>
  <si>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</si>
  <si>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</si>
  <si>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</si>
  <si>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Business Administration, Management and Operations, Other.</t>
  </si>
  <si>
    <t>Accounting and Related Services.</t>
  </si>
  <si>
    <t>Accounting.</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</si>
  <si>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</si>
  <si>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</si>
  <si>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</si>
  <si>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</si>
  <si>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</si>
  <si>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</si>
  <si>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</si>
  <si>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</si>
  <si>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</si>
  <si>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</si>
  <si>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</si>
  <si>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</si>
  <si>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</si>
  <si>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</si>
  <si>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</si>
  <si>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</si>
  <si>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Business/Managerial Economics.</t>
  </si>
  <si>
    <t>Entrepreneurial and Small Business Operations.</t>
  </si>
  <si>
    <t>Entrepreneurship/Entrepreneurial Studies.</t>
  </si>
  <si>
    <t>Franchising and Franchise Operations.</t>
  </si>
  <si>
    <t>Small Business Administration/Management.</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</si>
  <si>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</si>
  <si>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</si>
  <si>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</si>
  <si>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</si>
  <si>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</si>
  <si>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</si>
  <si>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</si>
  <si>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</si>
  <si>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</si>
  <si>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</si>
  <si>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</si>
  <si>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</si>
  <si>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</si>
  <si>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</si>
  <si>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</si>
  <si>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</si>
  <si>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</si>
  <si>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</si>
  <si>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</si>
  <si>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</si>
  <si>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</si>
  <si>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</si>
  <si>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</si>
  <si>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</si>
  <si>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</si>
  <si>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</si>
  <si>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Human Resources Management and Services, Other.</t>
  </si>
  <si>
    <t>International Business.</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</si>
  <si>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</si>
  <si>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</si>
  <si>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</si>
  <si>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</si>
  <si>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</si>
  <si>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</si>
  <si>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</si>
  <si>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</si>
  <si>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</si>
  <si>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</si>
  <si>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</si>
  <si>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</si>
  <si>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</si>
  <si>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</si>
  <si>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</si>
  <si>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</si>
  <si>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</si>
  <si>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</si>
  <si>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</si>
  <si>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</si>
  <si>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</si>
  <si>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</si>
  <si>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</si>
  <si>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</si>
  <si>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</si>
  <si>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</si>
  <si>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</si>
  <si>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</si>
  <si>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</si>
  <si>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</si>
  <si>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</si>
  <si>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</si>
  <si>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</si>
  <si>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</si>
  <si>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</si>
  <si>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</si>
  <si>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</si>
  <si>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Telecommunications Management.</t>
  </si>
  <si>
    <t>Business, Management, Marketing, and Related Support Services, Other.</t>
  </si>
  <si>
    <t>HISTORY.</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</si>
  <si>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</si>
  <si>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</si>
  <si>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</si>
  <si>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</si>
  <si>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</si>
  <si>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</si>
  <si>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</si>
  <si>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</si>
  <si>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</si>
  <si>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</si>
  <si>
    <t>Men</t>
  </si>
  <si>
    <t>Women</t>
  </si>
  <si>
    <t>American Indian or Alaska Native</t>
  </si>
  <si>
    <t>Asian</t>
  </si>
  <si>
    <t>Black or African American</t>
  </si>
  <si>
    <t>Hispanic or Latino</t>
  </si>
  <si>
    <t>Native Hawaiian or other Pacific Islander</t>
  </si>
  <si>
    <t>White</t>
  </si>
  <si>
    <t>Two or more races</t>
  </si>
  <si>
    <t>Nonresident alien</t>
  </si>
  <si>
    <t>CIP Codes</t>
  </si>
  <si>
    <t>Non-Binary</t>
  </si>
  <si>
    <t>AGRICULTURAL/ANIMAL/PLANT/VETERINARY SCIENCE AND RELATED FIELDS.</t>
  </si>
  <si>
    <t>Agricultural Business Technology/Technician.</t>
  </si>
  <si>
    <t>Agricultural Mechanics and Equipment/Machine Technology/Technician.</t>
  </si>
  <si>
    <t>Irrigation Management Technology/Technician.</t>
  </si>
  <si>
    <t>Apiculture.</t>
  </si>
  <si>
    <t>Reserved.</t>
  </si>
  <si>
    <t>Farrier Science.</t>
  </si>
  <si>
    <t>Public Horticulture.</t>
  </si>
  <si>
    <t>Urban and Community Horticulture.</t>
  </si>
  <si>
    <t>Brewing Science.</t>
  </si>
  <si>
    <t>Zymology/Fermentation Science.</t>
  </si>
  <si>
    <t>Agriculture/Veterinary Preparatory Programs.</t>
  </si>
  <si>
    <t>Agriculture/Veterinary Preparatory Programs, Other.</t>
  </si>
  <si>
    <t>Veterinary Administrative Services.</t>
  </si>
  <si>
    <t>Veterinary Administrative Services, General.</t>
  </si>
  <si>
    <t>Veterinary Office Management/Administration.</t>
  </si>
  <si>
    <t>Veterinary Reception/Receptionist.</t>
  </si>
  <si>
    <t>Veterinary Administrative/Executive Assistant and Veterinary Secretary.</t>
  </si>
  <si>
    <t>Veterinary Administrative Services, Other.</t>
  </si>
  <si>
    <t>Veterinary/Animal Health Technologies/Technicians.</t>
  </si>
  <si>
    <t>Veterinary/Animal Health Technologies/Technicians, Other.</t>
  </si>
  <si>
    <t>Agricultural/Animal/Plant/Veterinary Science and Related Fields, Other.</t>
  </si>
  <si>
    <t>Environmental/Natural Resources Management and Policy.</t>
  </si>
  <si>
    <t>Environmental/Natural Resources Management and Policy, General.</t>
  </si>
  <si>
    <t>Environmental/Natural Resource Economics.</t>
  </si>
  <si>
    <t>Environmental/Natural Resource Recreation and Tourism.</t>
  </si>
  <si>
    <t>Environmental/Natural Resources Law Enforcement and Protective Services.</t>
  </si>
  <si>
    <t>Energy and Environmental Policy.</t>
  </si>
  <si>
    <t>Bioenergy.</t>
  </si>
  <si>
    <t>Environmental/Natural Resources Management and Policy, Other.</t>
  </si>
  <si>
    <t>Wood Science and Wood Products/Pulp and Paper Technology/Technician.</t>
  </si>
  <si>
    <t>Wildlife, Fish and Wildlands Science and Management.</t>
  </si>
  <si>
    <t>Pre-Architecture Studies.</t>
  </si>
  <si>
    <t>Architectural Design.</t>
  </si>
  <si>
    <t>Architecture, Other.</t>
  </si>
  <si>
    <t>City/Urban, Community, and Regional Planning.</t>
  </si>
  <si>
    <t>Environmental Design/Architecture.</t>
  </si>
  <si>
    <t>Healthcare Environment Design/Architecture.</t>
  </si>
  <si>
    <t>Sustainable Design/Architecture.</t>
  </si>
  <si>
    <t>Environmental Design, Other.</t>
  </si>
  <si>
    <t>Architectural History, Criticism, and Conservation.</t>
  </si>
  <si>
    <t>Architectural History and Criticism, General.</t>
  </si>
  <si>
    <t>Architectural Conservation.</t>
  </si>
  <si>
    <t>Architectural Studies.</t>
  </si>
  <si>
    <t>Architectural History, Criticism, and Conservation, Other.</t>
  </si>
  <si>
    <t>Regional Studies (U.S., Canadian, Foreign).</t>
  </si>
  <si>
    <t>Appalachian Studies.</t>
  </si>
  <si>
    <t>Arctic Studies.</t>
  </si>
  <si>
    <t>Comparative Group Studies.</t>
  </si>
  <si>
    <t>Area, Ethnic, Cultural, Gender, and Group Studies, Other.</t>
  </si>
  <si>
    <t>Business and Economic Journalism.</t>
  </si>
  <si>
    <t>Cultural Journalism.</t>
  </si>
  <si>
    <t>Science/Health/Environmental Journalism.</t>
  </si>
  <si>
    <t>Communication Management and Strategic Communications.</t>
  </si>
  <si>
    <t>Public Relations, Advertising, and Applied Communication, Other.</t>
  </si>
  <si>
    <t>Communications Technologies/Technicians.</t>
  </si>
  <si>
    <t>Photographic and Film/Video Technology/Technician.</t>
  </si>
  <si>
    <t>Voice Writing Technology/Technician.</t>
  </si>
  <si>
    <t>Animation, Interactive Technology, Video Graphics, and Special Effects.</t>
  </si>
  <si>
    <t>Human-Centered Technology Design.</t>
  </si>
  <si>
    <t>Computer Game Programming.</t>
  </si>
  <si>
    <t>Computer Programming, Specific Platforms.</t>
  </si>
  <si>
    <t>Data Processing and Data Processing Technology/Technician.</t>
  </si>
  <si>
    <t>Computer Systems Analysis/Analyst.</t>
  </si>
  <si>
    <t>Cloud Computing.</t>
  </si>
  <si>
    <t>Computer Systems Networking and Telecommunications, Other.</t>
  </si>
  <si>
    <t>Computer and Information Systems Security/Auditing/Information Assurance.</t>
  </si>
  <si>
    <t>CULINARY, ENTERTAINMENT, AND PERSONAL SERVICES.</t>
  </si>
  <si>
    <t>Casino Operations and Services.</t>
  </si>
  <si>
    <t>Casino Operations and Services, General.</t>
  </si>
  <si>
    <t>Casino Dealing.</t>
  </si>
  <si>
    <t>Casino Operations and Services, Other.</t>
  </si>
  <si>
    <t>Culinary, Entertainment, and Personal Services, Other.</t>
  </si>
  <si>
    <t>Community College Administration.</t>
  </si>
  <si>
    <t>International School Administration/Leadership.</t>
  </si>
  <si>
    <t>Education Entrepreneurship.</t>
  </si>
  <si>
    <t>Early Childhood Program Administration.</t>
  </si>
  <si>
    <t>Educational/Instructional Technology.</t>
  </si>
  <si>
    <t>Institutional Research.</t>
  </si>
  <si>
    <t>Education/Teaching of Individuals with Intellectual Disabilities.</t>
  </si>
  <si>
    <t>Online Educator/Online Teaching.</t>
  </si>
  <si>
    <t>International Teaching and Learning.</t>
  </si>
  <si>
    <t>Science, Technology, Engineering, and Mathematics (STEM) Educational Methods.</t>
  </si>
  <si>
    <t>College/Postsecondary/University Teaching.</t>
  </si>
  <si>
    <t>Business and Innovation/Entrepreneurship Teacher Education.</t>
  </si>
  <si>
    <t>Communication Arts and Literature Teacher Education.</t>
  </si>
  <si>
    <t>Applied Engineering.</t>
  </si>
  <si>
    <t>Aerospace, Aeronautical, and Astronautical/Space Engineering.</t>
  </si>
  <si>
    <t>Aerospace, Aeronautical, and Astronautical/Space Engineering, General.</t>
  </si>
  <si>
    <t>Astronautical Engineering.</t>
  </si>
  <si>
    <t>Aerospace, Aeronautical, and Astronautical/Space Engineering, Other.</t>
  </si>
  <si>
    <t>Bioengineering and Biomedical Engineering.</t>
  </si>
  <si>
    <t>Electrical, Electronics, and Communications Engineering.</t>
  </si>
  <si>
    <t>Electrical and Electronics Engineering.</t>
  </si>
  <si>
    <t>Electrical, Electronics, and Communications Engineering, Other.</t>
  </si>
  <si>
    <t>Engineering Physics/Applied Physics.</t>
  </si>
  <si>
    <t>Materials Engineering.</t>
  </si>
  <si>
    <t>Electrical and Computer Engineering.</t>
  </si>
  <si>
    <t>Energy Systems Engineering.</t>
  </si>
  <si>
    <t>Energy Systems Engineering, General.</t>
  </si>
  <si>
    <t>Power Plant Engineering.</t>
  </si>
  <si>
    <t>Energy Systems Engineering, Other.</t>
  </si>
  <si>
    <t>ENGINEERING/ENGINEERING-RELATED TECHNOLOGIES/TECHNICIANS.</t>
  </si>
  <si>
    <t>Engineering Technologies/Technicians, General.</t>
  </si>
  <si>
    <t>Applied Engineering Technologies/Technicians.</t>
  </si>
  <si>
    <t>Electrical/Electronic Engineering Technologies/Technicians.</t>
  </si>
  <si>
    <t>Electrical, Electronic, and Communications Engineering Technology/Technician.</t>
  </si>
  <si>
    <t>Integrated Circuit Design Technology/Technician.</t>
  </si>
  <si>
    <t>Audio Engineering Technology/Technician.</t>
  </si>
  <si>
    <t>Electrical/Electronic Engineering Technologies/Technicians, Other.</t>
  </si>
  <si>
    <t>Electromechanical Technologies/Technicians.</t>
  </si>
  <si>
    <t>Electromechanical/Electromechanical Engineering Technology/Technician.</t>
  </si>
  <si>
    <t>Mechatronics, Robotics, and Automation Engineering Technology/Technician.</t>
  </si>
  <si>
    <t>Electromechanical Technologies/Technicians, Other.</t>
  </si>
  <si>
    <t>Environmental/Environmental Engineering Technology/Technician.</t>
  </si>
  <si>
    <t>Semiconductor Manufacturing Technology/Technician.</t>
  </si>
  <si>
    <t>Composite Materials Technology/Technician.</t>
  </si>
  <si>
    <t>Process Safety Technology/Technician.</t>
  </si>
  <si>
    <t>Mechanical/Mechanical Engineering Technology/Technician.</t>
  </si>
  <si>
    <t>Marine Engineering Technology/Technician.</t>
  </si>
  <si>
    <t>Motorsports Engineering Technology/Technician.</t>
  </si>
  <si>
    <t>Construction Engineering Technology/Technician.</t>
  </si>
  <si>
    <t>Engineering-Related Technologies/Technicians.</t>
  </si>
  <si>
    <t>Engineering-Related Technologies/Technicians, Other.</t>
  </si>
  <si>
    <t>Computer/Computer Systems Technology/Technician.</t>
  </si>
  <si>
    <t>3-D Modeling and Design Technology/Technician.</t>
  </si>
  <si>
    <t>Nuclear Engineering Technology/Technician.</t>
  </si>
  <si>
    <t>Energy Systems Technologies/Technicians.</t>
  </si>
  <si>
    <t>Energy Systems Technology/Technician.</t>
  </si>
  <si>
    <t>Power Plant Technology/Technician.</t>
  </si>
  <si>
    <t>Wind Energy Technology/Technician.</t>
  </si>
  <si>
    <t>Hydroelectric Energy Technology/Technician.</t>
  </si>
  <si>
    <t>Geothermal Energy Technology/Technician.</t>
  </si>
  <si>
    <t>Energy Systems Technologies/Technicians, Other.</t>
  </si>
  <si>
    <t>Engineering/Engineering-Related Technologies/Technicians, Other.</t>
  </si>
  <si>
    <t>Iranian Languages, Literatures, and Linguistics.</t>
  </si>
  <si>
    <t>Hawaiian Language and Literature.</t>
  </si>
  <si>
    <t>English as a Second Language.</t>
  </si>
  <si>
    <t>Armenian Languages, Literatures, and Linguistics.</t>
  </si>
  <si>
    <t>Armenian Language and Literature.</t>
  </si>
  <si>
    <t>Early Childhood and Family Studies.</t>
  </si>
  <si>
    <t>Parent Education Services.</t>
  </si>
  <si>
    <t>RESERVED.</t>
  </si>
  <si>
    <t>Non-Professional Legal Studies.</t>
  </si>
  <si>
    <t>Legal Studies.</t>
  </si>
  <si>
    <t>Non-Professional Legal Studies, Other.</t>
  </si>
  <si>
    <t>Patent Law.</t>
  </si>
  <si>
    <t>Agriculture Law.</t>
  </si>
  <si>
    <t>Arts and Entertainment Law.</t>
  </si>
  <si>
    <t>Compliance Law.</t>
  </si>
  <si>
    <t>Criminal Law and Procedure.</t>
  </si>
  <si>
    <t>Entrepreneurship Law.</t>
  </si>
  <si>
    <t>Family/Child/Elder Law.</t>
  </si>
  <si>
    <t>Human Resources Law.</t>
  </si>
  <si>
    <t>Insurance Law.</t>
  </si>
  <si>
    <t>Real Estate and Land Development Law.</t>
  </si>
  <si>
    <t>Transportation Law.</t>
  </si>
  <si>
    <t>Tribal/Indigenous Law.</t>
  </si>
  <si>
    <t>Court Reporting and Captioning/Court Reporter.</t>
  </si>
  <si>
    <t>Court Interpreter.</t>
  </si>
  <si>
    <t>Scopist.</t>
  </si>
  <si>
    <t>Infectious Disease and Global Health.</t>
  </si>
  <si>
    <t>Exercise Physiology and Kinesiology.</t>
  </si>
  <si>
    <t>Biomechanics.</t>
  </si>
  <si>
    <t>Epidemiology and Biostatistics.</t>
  </si>
  <si>
    <t>Applied Statistics.</t>
  </si>
  <si>
    <t>Applied Statistics, General.</t>
  </si>
  <si>
    <t>Military Technology and Applied Sciences Management.</t>
  </si>
  <si>
    <t>Comprehensive Transition and Postsecondary (CTP) Program.</t>
  </si>
  <si>
    <t>Historic Preservation and Conservation, General.</t>
  </si>
  <si>
    <t>International/Globalization Studies.</t>
  </si>
  <si>
    <t>Classical, Ancient Mediterranean, and Near Eastern Studies and Archaeology.</t>
  </si>
  <si>
    <t>Classical and Ancient Studies, Other.</t>
  </si>
  <si>
    <t>Cognitive Science, General.</t>
  </si>
  <si>
    <t>Contemplative Studies/Inquiry.</t>
  </si>
  <si>
    <t>Cognitive Science, Other.</t>
  </si>
  <si>
    <t>Anthrozoology.</t>
  </si>
  <si>
    <t>Climate Science.</t>
  </si>
  <si>
    <t>Cultural Studies and Comparative Literature.</t>
  </si>
  <si>
    <t>Design for Human Health.</t>
  </si>
  <si>
    <t>Earth Systems Science.</t>
  </si>
  <si>
    <t>Economics and Computer Science.</t>
  </si>
  <si>
    <t>Economics and Foreign Language/Literature.</t>
  </si>
  <si>
    <t>Environmental Geosciences.</t>
  </si>
  <si>
    <t>Geoarcheaology.</t>
  </si>
  <si>
    <t>Geobiology.</t>
  </si>
  <si>
    <t>Geography and Environmental Studies.</t>
  </si>
  <si>
    <t>History and Language/Literature.</t>
  </si>
  <si>
    <t>History and Political Science.</t>
  </si>
  <si>
    <t>Linguistics and Anthropology.</t>
  </si>
  <si>
    <t>Linguistics and Computer Science.</t>
  </si>
  <si>
    <t>Mathematical Economics.</t>
  </si>
  <si>
    <t>Mathematics and Atmospheric/Oceanic Science.</t>
  </si>
  <si>
    <t>Philosophy, Politics, and Economics.</t>
  </si>
  <si>
    <t>Digital Humanities and Textual Studies.</t>
  </si>
  <si>
    <t>Digital Humanities and Textual Studies, General.</t>
  </si>
  <si>
    <t>Digital Humanities.</t>
  </si>
  <si>
    <t>Textual Studies.</t>
  </si>
  <si>
    <t>Digital Humanities and Textual Studies, Other.</t>
  </si>
  <si>
    <t>Thanatology.</t>
  </si>
  <si>
    <t>Data Science.</t>
  </si>
  <si>
    <t>Data Science, General.</t>
  </si>
  <si>
    <t>Data Science, Other.</t>
  </si>
  <si>
    <t>Data Analytics.</t>
  </si>
  <si>
    <t>Data Analytics, General.</t>
  </si>
  <si>
    <t>Business Analytics.</t>
  </si>
  <si>
    <t>Data Visualization.</t>
  </si>
  <si>
    <t>Financial Analytics.</t>
  </si>
  <si>
    <t>Data Analytics, Other.</t>
  </si>
  <si>
    <t>Multi-/Interdisciplinary Studies, Other.</t>
  </si>
  <si>
    <t>PARKS, RECREATION, LEISURE, FITNESS, AND KINESIOLOGY.</t>
  </si>
  <si>
    <t>Parks, Recreation, and Leisure Studies.</t>
  </si>
  <si>
    <t>Parks, Recreation, and Leisure Facilities Management.</t>
  </si>
  <si>
    <t>Parks, Recreation, and Leisure Facilities Management, General.</t>
  </si>
  <si>
    <t>Parks, Recreation, and Leisure Facilities Management, Other.</t>
  </si>
  <si>
    <t>Sports, Kinesiology, and Physical Education/Fitness.</t>
  </si>
  <si>
    <t>Sports, Kinesiology, and Physical Education/Fitness, General.</t>
  </si>
  <si>
    <t>Exercise Science and Kinesiology.</t>
  </si>
  <si>
    <t>Sports, Kinesiology, and Physical Education/Fitness, Other.</t>
  </si>
  <si>
    <t>Parks, Recreation, Leisure, Fitness, and Kinesiology, Other.</t>
  </si>
  <si>
    <t>Accent Reduction/Modification.</t>
  </si>
  <si>
    <t>General Exam Preparation and Test-Taking Skills.</t>
  </si>
  <si>
    <t>Exam Preparation and Test-Taking Skills, General.</t>
  </si>
  <si>
    <t>High School Equivalent Exam Preparation.</t>
  </si>
  <si>
    <t>Undergraduate Entrance/Placement Examination Preparation.</t>
  </si>
  <si>
    <t>Graduate/Professional School Entrance Examination Preparation.</t>
  </si>
  <si>
    <t>Professional Certification/Licensure Examination Preparation.</t>
  </si>
  <si>
    <t>General Exam Preparation and Test-Taking Skills, Other.</t>
  </si>
  <si>
    <t>Personal Emergency Preparedness.</t>
  </si>
  <si>
    <t>Meditation/Mind-Body Wellness.</t>
  </si>
  <si>
    <t>Life Coaching.</t>
  </si>
  <si>
    <t>Beekeeping.</t>
  </si>
  <si>
    <t>Firearms Training/Safety.</t>
  </si>
  <si>
    <t>Floral Design/Arrangement.</t>
  </si>
  <si>
    <t>Master Gardener/Gardening.</t>
  </si>
  <si>
    <t>Noncommercial Vehicle Operation.</t>
  </si>
  <si>
    <t>Automobile Driver Education.</t>
  </si>
  <si>
    <t>Helicopter Pilot (Private).</t>
  </si>
  <si>
    <t>Motorcycle Rider Education.</t>
  </si>
  <si>
    <t>Personal Watercraft/Boating Education.</t>
  </si>
  <si>
    <t>Remote Aircraft Pilot (Personal).</t>
  </si>
  <si>
    <t>Noncommercial Vehicle Operation, Other.</t>
  </si>
  <si>
    <t>Investing/Wealth Management/Retirement Planning.</t>
  </si>
  <si>
    <t>Self-Defense.</t>
  </si>
  <si>
    <t>Catholic Studies.</t>
  </si>
  <si>
    <t>Mormon Studies.</t>
  </si>
  <si>
    <t>Missions/Missionary Studies.</t>
  </si>
  <si>
    <t>Church Planting.</t>
  </si>
  <si>
    <t>Missions/Missionary Studies and Missiology, Other.</t>
  </si>
  <si>
    <t>Religious Music and Worship.</t>
  </si>
  <si>
    <t>Worship Ministry.</t>
  </si>
  <si>
    <t>Religious Music and Worship, Other.</t>
  </si>
  <si>
    <t>Chaplain/Chaplaincy Studies.</t>
  </si>
  <si>
    <t>Religious Institution Administration and Law.</t>
  </si>
  <si>
    <t>Religious Institution Administration and Management.</t>
  </si>
  <si>
    <t>Religious/Canon Law.</t>
  </si>
  <si>
    <t>Religious Institution Administration and Law, Other.</t>
  </si>
  <si>
    <t>Physical Sciences, General.</t>
  </si>
  <si>
    <t>Cheminformatics/Chemistry Informatics.</t>
  </si>
  <si>
    <t>Physics and Astronomy.</t>
  </si>
  <si>
    <t>Biology/Biotechnology Technologies/Technicians.</t>
  </si>
  <si>
    <t>Biology/Biotechnology Technology/Technician.</t>
  </si>
  <si>
    <t>Behavioral Neuroscience.</t>
  </si>
  <si>
    <t>Developmental and Adolescent Psychology.</t>
  </si>
  <si>
    <t>Performance and Sport Psychology.</t>
  </si>
  <si>
    <t>Somatic Psychology.</t>
  </si>
  <si>
    <t>Transpersonal/Spiritual Psychology.</t>
  </si>
  <si>
    <t>Criminal Justice and Corrections, General.</t>
  </si>
  <si>
    <t>Security Science and Technology.</t>
  </si>
  <si>
    <t>Security Science and Technology, General.</t>
  </si>
  <si>
    <t>Cybersecurity Defense Strategy/Policy.</t>
  </si>
  <si>
    <t>Geospatial Intelligence.</t>
  </si>
  <si>
    <t>Security Science and Technology, Other.</t>
  </si>
  <si>
    <t>Public Works Management.</t>
  </si>
  <si>
    <t>Transportation and Infrastructure Planning/Studies.</t>
  </si>
  <si>
    <t>Public Administration, Other.</t>
  </si>
  <si>
    <t>Forensic Social Work.</t>
  </si>
  <si>
    <t>Survey Research/Methodology.</t>
  </si>
  <si>
    <t>Anthropology, General.</t>
  </si>
  <si>
    <t>Forensic Anthropology.</t>
  </si>
  <si>
    <t>Demography.</t>
  </si>
  <si>
    <t>Applied Demography.</t>
  </si>
  <si>
    <t>Demography, Other.</t>
  </si>
  <si>
    <t>Sociology, General.</t>
  </si>
  <si>
    <t>Applied/Public Sociology.</t>
  </si>
  <si>
    <t>Sociology, Other.</t>
  </si>
  <si>
    <t>Geography and Anthropology.</t>
  </si>
  <si>
    <t>Carpentry/Carpenter.</t>
  </si>
  <si>
    <t>Building Construction Technology/Technician.</t>
  </si>
  <si>
    <t>Electrical/Electronics Maintenance and Repair Technologies/Technicians.</t>
  </si>
  <si>
    <t>Electrical/Electronics Equipment Installation and Repair Technology/Technician, General.</t>
  </si>
  <si>
    <t>Communications Systems Installation and Repair Technology/Technician.</t>
  </si>
  <si>
    <t>Electrical/Electronics Maintenance and Repair Technologies/Technicians, Other.</t>
  </si>
  <si>
    <t>Heating, Air Conditioning, Ventilation and Refrigeration Maintenance Technology/Technician.</t>
  </si>
  <si>
    <t>Heavy/Industrial Equipment Maintenance Technologies/Technicians.</t>
  </si>
  <si>
    <t>Industrial Mechanics and Maintenance Technology/Technician.</t>
  </si>
  <si>
    <t>Heavy/Industrial Equipment Maintenance Technologies/Technicians, Other.</t>
  </si>
  <si>
    <t>Precision Systems Maintenance and Repair Technologies/Technicians.</t>
  </si>
  <si>
    <t>Precision Systems Maintenance and Repair Technologies/Technicians, Other.</t>
  </si>
  <si>
    <t>Vehicle Maintenance and Repair Technologies/Technicians.</t>
  </si>
  <si>
    <t>Vehicle Maintenance and Repair Technology/Technician, General.</t>
  </si>
  <si>
    <t>Vehicle Maintenance and Repair Technologies/Technicians, Other.</t>
  </si>
  <si>
    <t>Energy Systems Maintenance and Repair Technologies/Technicians.</t>
  </si>
  <si>
    <t>Energy Systems Installation and Repair Technology/Technician.</t>
  </si>
  <si>
    <t>Solar Energy System Installation and Repair Technology/Technician.</t>
  </si>
  <si>
    <t>Wind Energy System Installation and Repair Technology/Technician.</t>
  </si>
  <si>
    <t>Hydroelectric Energy System Installation and Repair Technology/Technician.</t>
  </si>
  <si>
    <t>Geothermal Energy System Installation and Repair Technology/Technician.</t>
  </si>
  <si>
    <t>Energy Systems Maintenance and Repair Technologies/Technicians, Other.</t>
  </si>
  <si>
    <t>Wooden Boatbuilding Technology/Technician.</t>
  </si>
  <si>
    <t>Remote Aircraft Pilot.</t>
  </si>
  <si>
    <t>Mobil Crane Operator/Operation.</t>
  </si>
  <si>
    <t>Forklift Operation/Operator.</t>
  </si>
  <si>
    <t>Comedy Writing and Performance.</t>
  </si>
  <si>
    <t>Theatre and Dance.</t>
  </si>
  <si>
    <t>Film/Cinema/Media Studies.</t>
  </si>
  <si>
    <t>Jewelry Arts.</t>
  </si>
  <si>
    <t>Metal Arts.</t>
  </si>
  <si>
    <t>Sound Arts.</t>
  </si>
  <si>
    <t>Arts, Entertainment, and Media Management.</t>
  </si>
  <si>
    <t>Arts, Entertainment, and Media Management, General.</t>
  </si>
  <si>
    <t>Community/Environmental/Socially-Engaged Art.</t>
  </si>
  <si>
    <t>Digital Dentistry.</t>
  </si>
  <si>
    <t>Geriatric Dentistry.</t>
  </si>
  <si>
    <t>Implantology/Implant Dentistry.</t>
  </si>
  <si>
    <t>Regulatory Science/Affairs.</t>
  </si>
  <si>
    <t>Disease Registry Data Management.</t>
  </si>
  <si>
    <t>Healthcare Innovation.</t>
  </si>
  <si>
    <t>Healthcare Information Privacy Assurance and Security.</t>
  </si>
  <si>
    <t>Physical Therapy Assistant.</t>
  </si>
  <si>
    <t>Chiropractic Technician/Assistant.</t>
  </si>
  <si>
    <t>Physician Associate/Assistant.</t>
  </si>
  <si>
    <t>Mammography Technology/Technician.</t>
  </si>
  <si>
    <t>Hyperbaric Medicine Technology/Technician.</t>
  </si>
  <si>
    <t>Intraoperative Neuromonitoring Technology/Technician.</t>
  </si>
  <si>
    <t>Orthopedic Technology/Technician.</t>
  </si>
  <si>
    <t>Pre-Art Therapy.</t>
  </si>
  <si>
    <t>Pre-Physician Assistant.</t>
  </si>
  <si>
    <t>Medicine, Other.</t>
  </si>
  <si>
    <t>Medical Science/Scientist.</t>
  </si>
  <si>
    <t>Clinical and Translational Science.</t>
  </si>
  <si>
    <t>Pain Management.</t>
  </si>
  <si>
    <t>Temporomandibular Disorders and Orofacial Pain.</t>
  </si>
  <si>
    <t>Tropical Medicine.</t>
  </si>
  <si>
    <t>Medical Clinical Sciences/Graduate Medical Studies, Other.</t>
  </si>
  <si>
    <t>Infant/Toddler Mental Health Services.</t>
  </si>
  <si>
    <t>Medical Family Therapy/Therapist.</t>
  </si>
  <si>
    <t>Hospice and Palliative Care.</t>
  </si>
  <si>
    <t>Trauma Counseling.</t>
  </si>
  <si>
    <t>Patient Safety and Healthcare Quality.</t>
  </si>
  <si>
    <t>Public Health Genetics.</t>
  </si>
  <si>
    <t>Rehabilitation and Therapeutic Professions, General.</t>
  </si>
  <si>
    <t>Drama Therapy/Therapist.</t>
  </si>
  <si>
    <t>Horticulture Therapy/Therapist.</t>
  </si>
  <si>
    <t>Play Therapy/Therapist.</t>
  </si>
  <si>
    <t>Physical Therapy Technician/Aide.</t>
  </si>
  <si>
    <t>Health Professions Education, Ethics, and Humanities.</t>
  </si>
  <si>
    <t>Health Professions Education.</t>
  </si>
  <si>
    <t>Medical/Health Humanities.</t>
  </si>
  <si>
    <t>History of Medicine.</t>
  </si>
  <si>
    <t>Arts in Medicine/Health.</t>
  </si>
  <si>
    <t>Health Professions Education, Ethics, and Humanities, Other.</t>
  </si>
  <si>
    <t>Holistic/Integrative Health.</t>
  </si>
  <si>
    <t>Forensic Nursing.</t>
  </si>
  <si>
    <t>Research Administration.</t>
  </si>
  <si>
    <t>Risk Management.</t>
  </si>
  <si>
    <t>Science/Technology Management.</t>
  </si>
  <si>
    <t>Business/Corporate Communications, General.</t>
  </si>
  <si>
    <t>Grantsmanship.</t>
  </si>
  <si>
    <t>Business/Corporate Communications, Other.</t>
  </si>
  <si>
    <t>Social Entrepreneurship.</t>
  </si>
  <si>
    <t>Financial Risk Management.</t>
  </si>
  <si>
    <t>Brewery/Brewpub Operations/Management.</t>
  </si>
  <si>
    <t>Executive/Career Coaching.</t>
  </si>
  <si>
    <t>International Business/Trade/Commerce.</t>
  </si>
  <si>
    <t>Digital Marketing.</t>
  </si>
  <si>
    <t>Construction Management, General.</t>
  </si>
  <si>
    <t>Construction Project Management.</t>
  </si>
  <si>
    <t>Construction Management, Other.</t>
  </si>
  <si>
    <t>HIGH SCHOOL/SECONDARY DIPLOMAS AND CERTIFICATES.</t>
  </si>
  <si>
    <t>High School/Secondary Diploma Programs.</t>
  </si>
  <si>
    <t>Regular/General High School/Secondary Diploma Program.</t>
  </si>
  <si>
    <t>College/University Preparatory and Advanced High School/Secondary Diploma Program.</t>
  </si>
  <si>
    <t>Vocational High School and Secondary Business/Vocational-Industrial/Occupational Diploma Program.</t>
  </si>
  <si>
    <t>Honors/Regents High School/Secondary Diploma Program.</t>
  </si>
  <si>
    <t>Adult High School/Secondary Diploma Program.</t>
  </si>
  <si>
    <t>High School/Secondary Diploma Programs, Other.</t>
  </si>
  <si>
    <t>High School/Secondary Certificate Programs.</t>
  </si>
  <si>
    <t>High School Equivalence Certificate Program.</t>
  </si>
  <si>
    <t>High School Certificate of Competence Program.</t>
  </si>
  <si>
    <t>Certificate of IEP Completion Program.</t>
  </si>
  <si>
    <t>High School/Secondary Certificates, Other.</t>
  </si>
  <si>
    <t>HEALTH PROFESSIONS RESIDENCY/FELLOWSHIP PROGRAMS.</t>
  </si>
  <si>
    <t>Dental Residency/Fellowship Programs.</t>
  </si>
  <si>
    <t>Oral and Maxillofacial Surgery Residency Program.</t>
  </si>
  <si>
    <t>Dental Public Health Residency Program.</t>
  </si>
  <si>
    <t>Endodontics Residency Program.</t>
  </si>
  <si>
    <t>Oral and Maxillofacial Pathology Residency Program.</t>
  </si>
  <si>
    <t>Orthodontics Residency Program.</t>
  </si>
  <si>
    <t>Pediatric Dentistry Residency Program.</t>
  </si>
  <si>
    <t>Periodontology Residency Program.</t>
  </si>
  <si>
    <t>Prosthodontics Residency Program.</t>
  </si>
  <si>
    <t>Oral and Maxillofacial Radiology Residency Program.</t>
  </si>
  <si>
    <t>Implantology Fellowship Program.</t>
  </si>
  <si>
    <t>Dental Residency/Fellowship Program, Other.</t>
  </si>
  <si>
    <t>Veterinary Residency/Fellowship Programs.</t>
  </si>
  <si>
    <t>Veterinary Anesthesiology Residency Program.</t>
  </si>
  <si>
    <t>Veterinary Dentistry Residency Program.</t>
  </si>
  <si>
    <t>Veterinary Dermatology Residency Program.</t>
  </si>
  <si>
    <t>Veterinary Emergency and Critical Care Medicine Residency Program.</t>
  </si>
  <si>
    <t>Veterinary Internal Medicine Residency Program.</t>
  </si>
  <si>
    <t>Laboratory Animal Medicine Residency Program.</t>
  </si>
  <si>
    <t>Veterinary Microbiology Residency Program.</t>
  </si>
  <si>
    <t>Veterinary Nutrition Residency Program.</t>
  </si>
  <si>
    <t>Veterinary Ophthalmology Residency Program.</t>
  </si>
  <si>
    <t>Veterinary Pathology Residency Program.</t>
  </si>
  <si>
    <t>Veterinary Practice Residency Program.</t>
  </si>
  <si>
    <t>Veterinary Preventive Medicine Residency Program.</t>
  </si>
  <si>
    <t>Veterinary Radiology Residency Program.</t>
  </si>
  <si>
    <t>Veterinary Surgery Residency Program.</t>
  </si>
  <si>
    <t>Theriogenology Residency Program.</t>
  </si>
  <si>
    <t>Veterinary Toxicology Residency Program.</t>
  </si>
  <si>
    <t>Zoological Medicine Residency Program.</t>
  </si>
  <si>
    <t>Poultry Veterinarian Residency Program.</t>
  </si>
  <si>
    <t>Veterinary Behaviorist Residency Program.</t>
  </si>
  <si>
    <t>Veterinary Clinical Pharmacology Residency Program.</t>
  </si>
  <si>
    <t>Veterinary Residency/Fellowship Program, Other.</t>
  </si>
  <si>
    <t>Medical Residency Programs - General Certificates.</t>
  </si>
  <si>
    <t>Aerospace Medicine Residency Program.</t>
  </si>
  <si>
    <t>Allergy and Immunology Residency Program.</t>
  </si>
  <si>
    <t>Anesthesiology Residency Program.</t>
  </si>
  <si>
    <t>Child Neurology Residency Program.</t>
  </si>
  <si>
    <t>Clinical Biochemical Genetics Residency Program.</t>
  </si>
  <si>
    <t>Clinical Cytogenetics Residency Program.</t>
  </si>
  <si>
    <t>Clinical Genetics Residency Program.</t>
  </si>
  <si>
    <t>Clinical Molecular Genetics Residency Program.</t>
  </si>
  <si>
    <t>Colon and Rectal Surgery Residency Program.</t>
  </si>
  <si>
    <t>Dermatology Residency Program.</t>
  </si>
  <si>
    <t>Diagnostic Radiology Residency Program.</t>
  </si>
  <si>
    <t>Emergency Medicine Residency Program.</t>
  </si>
  <si>
    <t>Family Medicine Residency Program.</t>
  </si>
  <si>
    <t>General Surgery Residency Program.</t>
  </si>
  <si>
    <t>Internal Medicine Residency Program.</t>
  </si>
  <si>
    <t>Neurological Surgery Residency Program.</t>
  </si>
  <si>
    <t>Neurology Residency Program.</t>
  </si>
  <si>
    <t>Nuclear Medicine Residency Program.</t>
  </si>
  <si>
    <t>Obstetrics and Gynecology Residency Program.</t>
  </si>
  <si>
    <t>Occupational Medicine Residency Program.</t>
  </si>
  <si>
    <t>Ophthalmology Residency Program.</t>
  </si>
  <si>
    <t>Orthopedic Surgery Residency Program.</t>
  </si>
  <si>
    <t>Otolaryngology Residency Program.</t>
  </si>
  <si>
    <t>Pathology Residency Program.</t>
  </si>
  <si>
    <t>Pediatrics Residency Program.</t>
  </si>
  <si>
    <t>Physical Medicine and Rehabilitation Residency Program.</t>
  </si>
  <si>
    <t>Plastic Surgery Residency Program.</t>
  </si>
  <si>
    <t>Psychiatry Residency Program.</t>
  </si>
  <si>
    <t>Public Health and General Preventive Medicine Residency Program.</t>
  </si>
  <si>
    <t>Radiation Oncology Residency Program.</t>
  </si>
  <si>
    <t>Radiologic Physics Residency Program.</t>
  </si>
  <si>
    <t>Thoracic Surgery Residency Program.</t>
  </si>
  <si>
    <t>Urology Residency Program.</t>
  </si>
  <si>
    <t>Vascular Surgery Residency Program.</t>
  </si>
  <si>
    <t>Medical Residency Programs - General Certificates, Other.</t>
  </si>
  <si>
    <t>Medical Residency Programs - Subspecialty Certificates.</t>
  </si>
  <si>
    <t>Addiction Psychiatry Residency Program.</t>
  </si>
  <si>
    <t>Adolescent Medicine Residency Program.</t>
  </si>
  <si>
    <t>Blood Banking/Transfusion Medicine Residency Program.</t>
  </si>
  <si>
    <t>Cardiovascular Disease Residency Program.</t>
  </si>
  <si>
    <t>Chemical Pathology Residency Program.</t>
  </si>
  <si>
    <t>Child Abuse Pediatrics Residency Program.</t>
  </si>
  <si>
    <t>Child and Adolescent Psychiatry Residency Program.</t>
  </si>
  <si>
    <t>Clinical Cardiac Electrophysiology Residency Program.</t>
  </si>
  <si>
    <t>Clinical Neurophysiology Residency Program.</t>
  </si>
  <si>
    <t>Congenital Cardiac Surgery Residency Program.</t>
  </si>
  <si>
    <t>Critical Care Medicine Residency Program.</t>
  </si>
  <si>
    <t>Cytopathology Residency Program.</t>
  </si>
  <si>
    <t>Dermatopathology Residency Program.</t>
  </si>
  <si>
    <t>Developmental-Behavioral Pediatrics Residency Program.</t>
  </si>
  <si>
    <t>Diagnostic Radiologic Physics Residency Program.</t>
  </si>
  <si>
    <t>Endocrinology, Diabetes and Metabolism Residency Program.</t>
  </si>
  <si>
    <t>Forensic Pathology Residency Program.</t>
  </si>
  <si>
    <t>Forensic Psychiatry Residency Program.</t>
  </si>
  <si>
    <t>Gastroenterology Residency Program.</t>
  </si>
  <si>
    <t>Geriatric Medicine Residency Program.</t>
  </si>
  <si>
    <t>Geriatric Psychiatry Residency Program.</t>
  </si>
  <si>
    <t>Gynecologic Oncology Residency Program.</t>
  </si>
  <si>
    <t>Hematological Pathology Residency Program.</t>
  </si>
  <si>
    <t>Hematology Residency Program.</t>
  </si>
  <si>
    <t>Hospice and Palliative Medicine Residency Program.</t>
  </si>
  <si>
    <t>Immunopathology Residency Program.</t>
  </si>
  <si>
    <t>Infectious Disease Residency Program.</t>
  </si>
  <si>
    <t>Interventional Cardiology Residency Program.</t>
  </si>
  <si>
    <t>Laboratory Medicine Residency Program.</t>
  </si>
  <si>
    <t>Maternal and Fetal Medicine Residency Program.</t>
  </si>
  <si>
    <t>Medical Biochemical Genetics Residency Program.</t>
  </si>
  <si>
    <t>Medical Microbiology Residency Program.</t>
  </si>
  <si>
    <t>Medical Nuclear Physics Residency Program.</t>
  </si>
  <si>
    <t>Medical Oncology Residency Program.</t>
  </si>
  <si>
    <t>Medical Toxicology Residency Program.</t>
  </si>
  <si>
    <t>Molecular Genetic Pathology Residency Program.</t>
  </si>
  <si>
    <t>Musculoskeletal Oncology Residency Program.</t>
  </si>
  <si>
    <t>Neonatal-Perinatal Medicine Residency Program.</t>
  </si>
  <si>
    <t>Nephrology Residency Program.</t>
  </si>
  <si>
    <t>Neurodevelopmental Disabilities Residency Program.</t>
  </si>
  <si>
    <t>Neuromuscular Medicine Residency Program.</t>
  </si>
  <si>
    <t>Neuropathology Residency Program.</t>
  </si>
  <si>
    <t>Neuroradiology Residency Program.</t>
  </si>
  <si>
    <t>Neurotology Residency Program.</t>
  </si>
  <si>
    <t>Nuclear Radiology Residency Program.</t>
  </si>
  <si>
    <t>Orthopedic Sports Medicine Residency Program.</t>
  </si>
  <si>
    <t>Orthopedic Surgery of the Spine Residency Program.</t>
  </si>
  <si>
    <t>Pain Medicine Residency Program.</t>
  </si>
  <si>
    <t>Pediatric Cardiology Residency Program.</t>
  </si>
  <si>
    <t>Pediatric Critical Care Medicine Residency Program.</t>
  </si>
  <si>
    <t>Pediatric Dermatology Residency Program.</t>
  </si>
  <si>
    <t>Pediatric Emergency Medicine Residency Program.</t>
  </si>
  <si>
    <t>Pediatric Endocrinology Residency Program.</t>
  </si>
  <si>
    <t>Pediatric Gastroenterology Residency Program.</t>
  </si>
  <si>
    <t>Pediatric Hematology-Oncology Residency Program.</t>
  </si>
  <si>
    <t>Pediatric Infectious Diseases Residency Program.</t>
  </si>
  <si>
    <t>Pediatric Nephrology Residency Program.</t>
  </si>
  <si>
    <t>Pediatric Orthopedics Residency Program.</t>
  </si>
  <si>
    <t>Pediatric Otolaryngology Residency Program.</t>
  </si>
  <si>
    <t>Pediatric Pathology Residency Program.</t>
  </si>
  <si>
    <t>Pediatric Pulmonology Residency Program.</t>
  </si>
  <si>
    <t>Pediatric Radiology Residency Program.</t>
  </si>
  <si>
    <t>Pediatric Rehabilitation Medicine Residency Program.</t>
  </si>
  <si>
    <t>Pediatric Rheumatology Residency Program.</t>
  </si>
  <si>
    <t>Pediatric Surgery Residency Program.</t>
  </si>
  <si>
    <t>Pediatric Transplant Hepatology Residency Program.</t>
  </si>
  <si>
    <t>Pediatric Urology Residency Program.</t>
  </si>
  <si>
    <t>Physical Medicine and Rehabilitation/Psychiatry Residency Program.</t>
  </si>
  <si>
    <t>Plastic Surgery Within the Head and Neck Residency Program.</t>
  </si>
  <si>
    <t>Psychosomatic Medicine Residency Program.</t>
  </si>
  <si>
    <t>Pulmonary Disease Residency Program.</t>
  </si>
  <si>
    <t>Radioisotopic Pathology Residency Program.</t>
  </si>
  <si>
    <t>Reproductive Endocrinology/Infertility Residency Program.</t>
  </si>
  <si>
    <t>Rheumatology Residency Program.</t>
  </si>
  <si>
    <t>Sleep Medicine Residency Program.</t>
  </si>
  <si>
    <t>Spinal Cord Injury Medicine Residency Program.</t>
  </si>
  <si>
    <t>Sports Medicine Residency Program.</t>
  </si>
  <si>
    <t>Surgery of the Hand Residency Program.</t>
  </si>
  <si>
    <t>Surgical Critical Care Residency Program.</t>
  </si>
  <si>
    <t>Therapeutic Radiologic Physics Residency Program.</t>
  </si>
  <si>
    <t>Transplant Hepatology Residency Program.</t>
  </si>
  <si>
    <t>Undersea and Hyperbaric Medicine Residency Program.</t>
  </si>
  <si>
    <t>Vascular and Interventional Radiology Residency Program.</t>
  </si>
  <si>
    <t>Vascular Neurology Residency Program.</t>
  </si>
  <si>
    <t>Medical Residency Programs - Subspecialty Certificates, Other.</t>
  </si>
  <si>
    <t>Podiatric Medicine Residency Programs.</t>
  </si>
  <si>
    <t>Podiatric Medicine and Surgery - 24 Residency Program.</t>
  </si>
  <si>
    <t>Podiatric Medicine and Surgery - 36 Residency Program.</t>
  </si>
  <si>
    <t>Nurse Practitioner Residency/Fellowship Programs.</t>
  </si>
  <si>
    <t>Nurse Practitioner Residency/Fellowship Program, General.</t>
  </si>
  <si>
    <t>Combined Nurse Practitioner Residency/Fellowship Program.</t>
  </si>
  <si>
    <t>Acute Care Nurse Practitioner Residency/Fellowship Program.</t>
  </si>
  <si>
    <t>Adult/Gerontology Acute Care Nurse Practitioner Residency/Fellowship Program.</t>
  </si>
  <si>
    <t>Adult/Gerontology Critical Care Nurse Practitioner Residency/Fellowship Program.</t>
  </si>
  <si>
    <t>Cardiology/Cardiovascular Nurse Practitioner Residency/Fellowship Program.</t>
  </si>
  <si>
    <t>Clinical Informatics Nurse Practitioner Residency/Fellowship Program.</t>
  </si>
  <si>
    <t>Dermatology Nurse Practitioner Residency/Fellowship Program.</t>
  </si>
  <si>
    <t>Developmental and Behavioral Pediatrics Nurse Practitioner Residency/Fellowship Program.</t>
  </si>
  <si>
    <t>Diabetes Nurse Practitioner Residency/Fellowship Program.</t>
  </si>
  <si>
    <t>Emergency Medicine Nurse Practitioner Residency/Fellowship Program.</t>
  </si>
  <si>
    <t>Endocrinology Nurse Practitioner Residency/Fellowship Program.</t>
  </si>
  <si>
    <t>Family Medicine Nurse Practitioner Residency/Fellowship Program.</t>
  </si>
  <si>
    <t>Gastroenterology and Hepatology Nurse Practitioner Residency/Fellowship Program.</t>
  </si>
  <si>
    <t>Gastroenterology Nurse Practitioner Residency/Fellowship Program.</t>
  </si>
  <si>
    <t>Genetics Nurse Practitioner Residency/Fellowship Program.</t>
  </si>
  <si>
    <t>Gerontology Nurse Practitioner Residency/Fellowship Program.</t>
  </si>
  <si>
    <t>Global Health Nurse Practitioner Residency/Fellowship Program.</t>
  </si>
  <si>
    <t>Hematology-Oncology Nurse Practitioner Residency/Fellowship Program.</t>
  </si>
  <si>
    <t>Hepatology Nurse Practitioner Residency/Fellowship Program.</t>
  </si>
  <si>
    <t>Home-Based Primary Care Nurse Practitioner Residency/Fellowship Program.</t>
  </si>
  <si>
    <t>Hospice and Palliative Medicine Nurse Practitioner Residency/Fellowship Program.</t>
  </si>
  <si>
    <t>Hospital Medicine Nurse Practitioner Residency/Fellowship Program.</t>
  </si>
  <si>
    <t>Infectious Diseases Nurse Practitioner Residency/Fellowship Program.</t>
  </si>
  <si>
    <t>Neonatal Nurse Practitioner Residency/Fellowship Program.</t>
  </si>
  <si>
    <t>Nephrology Nurse Practitioner Residency/Fellowship Program.</t>
  </si>
  <si>
    <t>Neurology Nurse Practitioner Residency/Fellowship Program.</t>
  </si>
  <si>
    <t>Neuroscience Nurse Practitioner Residency/Fellowship Program.</t>
  </si>
  <si>
    <t>Obstetrics and Gynecology Nurse Practitioner Residency/Fellowship Program.</t>
  </si>
  <si>
    <t>Occupational Health Nurse Practitioner Residency/Fellowship Program.</t>
  </si>
  <si>
    <t>Orthopedic Nurse Practitioner Residency/Fellowship Program.</t>
  </si>
  <si>
    <t>Orthopedic Surgery Nurse Practitioner Residency/Fellowship Program.</t>
  </si>
  <si>
    <t>Pain Management Nurse Practitioner Residency/Fellowship Program.</t>
  </si>
  <si>
    <t>Palliative Care Nurse Practitioner Residency/Fellowship Program.</t>
  </si>
  <si>
    <t>Pediatric Hematology-Oncology Nurse Practitioner Residency/Fellowship Program.</t>
  </si>
  <si>
    <t>Pediatric Nurse Practitioner Residency/Fellowship Program.</t>
  </si>
  <si>
    <t>Pediatric Rehabilitation Nurse Practitioner Residency/Fellowship Program.</t>
  </si>
  <si>
    <t>Psychiatric/Mental Health Nurse Practitioner Residency/Fellowship Program.</t>
  </si>
  <si>
    <t>Public/Community Health Nurse Practitioner Residency/Fellowship Program.</t>
  </si>
  <si>
    <t>Pulmonary Nurse Practitioner Residency/Fellowship Program.</t>
  </si>
  <si>
    <t>Rheumatology Nurse Practitioner Residency/Fellowship Program.</t>
  </si>
  <si>
    <t>Rural Health Nurse Practitioner Residency/Fellowship Program.</t>
  </si>
  <si>
    <t>Sleep Medicine Nurse Practitioner Residency/Fellowship Program.</t>
  </si>
  <si>
    <t>Surgical and Critical Care Nurse Practitioner Residency/Fellowship Program.</t>
  </si>
  <si>
    <t>Surgical Wound and Reconstruction Nurse Practitioner Residency/Fellowship Program.</t>
  </si>
  <si>
    <t>Transplantation Nurse Practitioner Residency/Fellowship Program.</t>
  </si>
  <si>
    <t>Trauma and Critical Care Nurse Practitioner Residency/Fellowship Program.</t>
  </si>
  <si>
    <t>Urgent Care Nurse Practitioner Residency/Fellowship Program.</t>
  </si>
  <si>
    <t>Urology Nurse Practitioner Residency/Fellowship Program.</t>
  </si>
  <si>
    <t>Women's Health Nurse Practitioner Residency/Fellowship Program.</t>
  </si>
  <si>
    <t>Wound Care Nurse Practitioner Residency/Fellowship Program.</t>
  </si>
  <si>
    <t>Nurse Practitioner Residency/Fellowship Program, Other.</t>
  </si>
  <si>
    <t>Pharmacy Residency/Fellowship Programs.</t>
  </si>
  <si>
    <t>Pharmacy Residency/Fellowship Program, General.</t>
  </si>
  <si>
    <t>Combined Pharmacy Residency/Fellowship Program.</t>
  </si>
  <si>
    <t>Ambulatory Care Pharmacy Residency/Fellowship Program.</t>
  </si>
  <si>
    <t>Cardiology Pharmacy Residency/Fellowship Program.</t>
  </si>
  <si>
    <t>Clinical Pharmacogenomics Pharmacy Residency/Fellowship Program.</t>
  </si>
  <si>
    <t>Community/Community-Based Pharmacy Residency/Fellowship Program.</t>
  </si>
  <si>
    <t>Corporate Pharmacy Leadership Residency/Fellowship Program.</t>
  </si>
  <si>
    <t>Critical Care Pharmacy Residency/Fellowship Program.</t>
  </si>
  <si>
    <t>Drug Information Pharmacy Residency/Fellowship Program</t>
  </si>
  <si>
    <t>Emergency Medicine Pharmacy Residency/Fellowship Program.</t>
  </si>
  <si>
    <t>Family Medicine Pharmacy Residency/Fellowship Program.</t>
  </si>
  <si>
    <t>Geriatric Pharmacy Residency/Fellowship Program.</t>
  </si>
  <si>
    <t>Health System Medication Management Pharmacy Residency/Fellowship Program.</t>
  </si>
  <si>
    <t>Health System Pharmacy Administration and Leadership Residency/Fellowship Program.</t>
  </si>
  <si>
    <t>Infectious Diseases Pharmacy Residency/Fellowship Program.</t>
  </si>
  <si>
    <t>Internal Medicine Pharmacy Residency/Fellowship Program.</t>
  </si>
  <si>
    <t>Investigational Drugs and Research Pharmacy Residency/Fellowship Program.</t>
  </si>
  <si>
    <t>Managed Care Pharmacy Residency/Fellowship Program.</t>
  </si>
  <si>
    <t>Medication Systems and Operations Pharmacy Residency/Fellowship Program.</t>
  </si>
  <si>
    <t>Medication-Use Safety Pharmacy Residency/Fellowship Program.</t>
  </si>
  <si>
    <t>Neonatal Pharmacy Residency/Fellowship Program.</t>
  </si>
  <si>
    <t>Nephrology Pharmacy Residency/Fellowship Program.</t>
  </si>
  <si>
    <t>Neurology Pharmacy Residency/Fellowship Program.</t>
  </si>
  <si>
    <t>Nuclear Pharmacy Residency/Fellowship Program.</t>
  </si>
  <si>
    <t>Nutrition Support Pharmacy Residency/Fellowship Program.</t>
  </si>
  <si>
    <t>Oncology Pharmacy Residency/Fellowship Program.</t>
  </si>
  <si>
    <t>Palliative Care/Pain Management Pharmacy Residency/Fellowship Program.</t>
  </si>
  <si>
    <t>Pediatric Pharmacy Residency/Fellowship Program.</t>
  </si>
  <si>
    <t>Pharmacotherapy Pharmacy Residency/Fellowship Program.</t>
  </si>
  <si>
    <t>Pharmacy Informatics Pharmacy Residency/Fellowship Program.</t>
  </si>
  <si>
    <t>Psychiatric Pharmacy Residency/Fellowship Program.</t>
  </si>
  <si>
    <t>Transplantation Pharmacy Residency/Fellowship Program.</t>
  </si>
  <si>
    <t>Pharmacy Residency Programs, Other.</t>
  </si>
  <si>
    <t>Physician Assistant Residency/Fellowship Programs.</t>
  </si>
  <si>
    <t>Physician Assistant Residency/Fellowship Program, General.</t>
  </si>
  <si>
    <t>Combined Physician Assistant Residency/Fellowship Program.</t>
  </si>
  <si>
    <t>Acute Care Medicine Physician Assistant Residency/Fellowship Program.</t>
  </si>
  <si>
    <t>Acute Care Surgery Physician Assistant Residency/Fellowship Program.</t>
  </si>
  <si>
    <t>Cardiology Physician Assistant Residency/Fellowship Program.</t>
  </si>
  <si>
    <t>Cardiothoracic Surgery Physician Assistant Residency/Fellowship Program.</t>
  </si>
  <si>
    <t>Critical Care Physician Assistant Residency/Fellowship Program.</t>
  </si>
  <si>
    <t>Critical Care and Trauma Surgery Physician Assistant Residency/Fellowship Program.</t>
  </si>
  <si>
    <t>Emergency Medicine Physician Assistant Residency/Fellowship Program.</t>
  </si>
  <si>
    <t>ENT Surgery Physician Assistant Residency/Fellowship Program.</t>
  </si>
  <si>
    <t>Family Medicine Physician Assistant Residency/Fellowship Program.</t>
  </si>
  <si>
    <t>Geriatrics Physician Assistant Residency/Fellowship Program.</t>
  </si>
  <si>
    <t>Hematology-Oncology Physician Assistant Residency/Fellowship Program.</t>
  </si>
  <si>
    <t>Hepatobiliary Surgery Physician Assistant Residency/Fellowship Program.</t>
  </si>
  <si>
    <t>Hospitalist Physician Assistant Residency/Fellowship Program.</t>
  </si>
  <si>
    <t>Neurosurgery Physician Assistant Residency/Fellowship Program.</t>
  </si>
  <si>
    <t>Orthopedic Surgery Physician Assistant Residency/Fellowship Program.</t>
  </si>
  <si>
    <t>Pediatric Surgery Physician Assistant Residency/Fellowship Program.</t>
  </si>
  <si>
    <t>Transplant Surgery Physician Assistant Residency/Fellowship Program.</t>
  </si>
  <si>
    <t>Urology Physician Assistant Residency/Fellowship Program.</t>
  </si>
  <si>
    <t>Physician Assistant Residency/Fellowship Program, Other.</t>
  </si>
  <si>
    <t>Health Professions Residency/Fellowship Programs, Other.</t>
  </si>
  <si>
    <t>MEDICAL RESIDENCY/FELLOWSHIP PROGRAMS.</t>
  </si>
  <si>
    <t>Combined Medical Residency/Fellowship Programs.</t>
  </si>
  <si>
    <t>Combined Medical Residency/Fellowship Program, General.</t>
  </si>
  <si>
    <t>Diagnostic Radiology/Nuclear Medicine Combined Specialty Program.</t>
  </si>
  <si>
    <t>Emergency Medicine/Anesthesiology Combined Specialty Program.</t>
  </si>
  <si>
    <t>Family Medicine/Emergency Medicine Combined Specialty Program.</t>
  </si>
  <si>
    <t>Family Medicine/Osteopathic Neuromusculoskeletal Medicine Combined Specialty Program.</t>
  </si>
  <si>
    <t>Family Medicine/Preventive Medicine Combined Specialty Program.</t>
  </si>
  <si>
    <t>Family Medicine/Psychiatry Combined Specialty Program.</t>
  </si>
  <si>
    <t>Internal Medicine/Anesthesiology Combined Specialty Program.</t>
  </si>
  <si>
    <t>Internal Medicine/Dermatology Combined Specialty Program.</t>
  </si>
  <si>
    <t>Internal Medicine/Emergency Medicine Combined Specialty Program.</t>
  </si>
  <si>
    <t>Internal Medicine/Emergency Medicine/Critical Care Medicine Combined Specialty Program.</t>
  </si>
  <si>
    <t>Internal Medicine/Family Medicine Combined Specialty Program.</t>
  </si>
  <si>
    <t>Internal Medicine/Medical Genetics and Genomics Combined Specialty Program.</t>
  </si>
  <si>
    <t>Internal Medicine/Neurology Combined Specialty Program.</t>
  </si>
  <si>
    <t>Internal Medicine/Pediatrics Combined Specialty Program.</t>
  </si>
  <si>
    <t>Internal Medicine/Preventive Medicine Combined Specialty Program.</t>
  </si>
  <si>
    <t>Internal Medicine/Psychiatry Combined Specialty Program.</t>
  </si>
  <si>
    <t>Medical Genetics and Genomics/Maternal-Fetal Medicine Combined Specialty Program.</t>
  </si>
  <si>
    <t>Pediatrics/Anesthesiology Combined Specialty Program.</t>
  </si>
  <si>
    <t>Pediatrics/Emergency Medicine Combined Specialty Program.</t>
  </si>
  <si>
    <t>Pediatrics/Medical Genetics and Genomics Combined Specialty Program.</t>
  </si>
  <si>
    <t>Pediatrics/Physical Medicine &amp; Rehabilitation Combined Specialty Program.</t>
  </si>
  <si>
    <t>Pediatrics/Psychology/Child-Adolescent Psychology Combined Specialty Program.</t>
  </si>
  <si>
    <t>Psychiatry/Neurology Combined Specialty Program.</t>
  </si>
  <si>
    <t>Reproductive Endocrinology and Infertility/Medical Genetics and Genomics Combined Specialty Program.</t>
  </si>
  <si>
    <t>Combined Medical Residency/Fellowship Programs, Other.</t>
  </si>
  <si>
    <t>Multiple-Pathway Medical Fellowship Programs.</t>
  </si>
  <si>
    <t>Critical Care Medicine Fellowship Program.</t>
  </si>
  <si>
    <t>Geriatric Medicine Fellowship Program.</t>
  </si>
  <si>
    <t>Health Policy Fellowship Program.</t>
  </si>
  <si>
    <t>Hospice and Palliative Medicine Fellowship Program.</t>
  </si>
  <si>
    <t>Integrative Medicine Fellowship Program.</t>
  </si>
  <si>
    <t>Medical Education Fellowship Program.</t>
  </si>
  <si>
    <t>Medical Toxicology Fellowship Program.</t>
  </si>
  <si>
    <t>Neuromuscular Medicine Fellowship Program.</t>
  </si>
  <si>
    <t>Pain Medicine Fellowship Program.</t>
  </si>
  <si>
    <t>Simulation Fellowship Program.</t>
  </si>
  <si>
    <t>Sleep Medicine Fellowship Program.</t>
  </si>
  <si>
    <t>Sports Medicine Fellowship Program.</t>
  </si>
  <si>
    <t>Surgery of the Hand Fellowship Program.</t>
  </si>
  <si>
    <t>Telemedicine Fellowship Program.</t>
  </si>
  <si>
    <t>Undersea and Hyperbaric Medicine Fellowship Program.</t>
  </si>
  <si>
    <t>Wilderness Medicine Fellowship Program.</t>
  </si>
  <si>
    <t>Women's Health Fellowship Program.</t>
  </si>
  <si>
    <t>Multiple-Pathway Medical Fellowship Programs, Other.</t>
  </si>
  <si>
    <t>Allergy and Immunology Residency/Fellowship Programs.</t>
  </si>
  <si>
    <t>Allergy and Immunology Fellowship Program.</t>
  </si>
  <si>
    <t>Allergy and Immunology Residency/Fellowship Programs, Other.</t>
  </si>
  <si>
    <t>Anesthesiology Residency/Fellowship Programs.</t>
  </si>
  <si>
    <t>Anesthesiology Residency/Fellowship Programs, Other.</t>
  </si>
  <si>
    <t>Dermatology Residency/Fellowship Programs.</t>
  </si>
  <si>
    <t>Dermatopathology Fellowship Program.</t>
  </si>
  <si>
    <t>Pediatric Dermatology Fellowship Program.</t>
  </si>
  <si>
    <t>Dermatology Residency/Fellowship Programs, Other.</t>
  </si>
  <si>
    <t>Emergency Medicine Residency/Fellowship Programs.</t>
  </si>
  <si>
    <t>Disaster Medicine Fellowship Program.</t>
  </si>
  <si>
    <t>Emergency Medical Services Fellowship Program.</t>
  </si>
  <si>
    <t>Emergency Medicine Residency/Fellowship Programs, Other.</t>
  </si>
  <si>
    <t>Family Medicine Residency/Fellowship Programs.</t>
  </si>
  <si>
    <t>Family Medicine Residency/Fellowship Programs, Other.</t>
  </si>
  <si>
    <t>Internal Medicine Residency/Fellowship Programs.</t>
  </si>
  <si>
    <t>Cardiovascular Disease Fellowship Program.</t>
  </si>
  <si>
    <t>Clinical Cardiac Electrophysiology Fellowship Program.</t>
  </si>
  <si>
    <t>Endocrinology, Diabetes, and Metabolism Fellowship Program.</t>
  </si>
  <si>
    <t>Gastroenterology Fellowship Program.</t>
  </si>
  <si>
    <t>Hematology Fellowship Program.</t>
  </si>
  <si>
    <t>Hematology-Oncology Fellowship Program.</t>
  </si>
  <si>
    <t>Infectious Disease Fellowship Program.</t>
  </si>
  <si>
    <t>Interventional Cardiology Fellowship Program.</t>
  </si>
  <si>
    <t>Nephrology Fellowship Program.</t>
  </si>
  <si>
    <t>Medical Oncology Fellowship Program.</t>
  </si>
  <si>
    <t>Pulmonary Disease Fellowship Program.</t>
  </si>
  <si>
    <t>Rheumatology Fellowship Program.</t>
  </si>
  <si>
    <t>Transplant Hepatology Fellowship Program.</t>
  </si>
  <si>
    <t>Internal Medicine Residency/Fellowship Programs, Other.</t>
  </si>
  <si>
    <t>Medical Genetics and Genomics Residency/Fellowship Programs.</t>
  </si>
  <si>
    <t>Clinical Genetics and Genomics Residency Program.</t>
  </si>
  <si>
    <t>Laboratory Genetics and Genomics Residency Program.</t>
  </si>
  <si>
    <t>Medical Genetics and Genomics Residency/Fellowship Programs, Other.</t>
  </si>
  <si>
    <t>Neurological Surgery Residency/Fellowship Programs.</t>
  </si>
  <si>
    <t>Neurological Surgery Residency/Fellowship Programs, Other.</t>
  </si>
  <si>
    <t>Neurology Residency/Fellowship Programs.</t>
  </si>
  <si>
    <t>Clinical Neurophysiology Fellowship Program.</t>
  </si>
  <si>
    <t>Epilepsy Fellowship Program.</t>
  </si>
  <si>
    <t>Headache Medicine Fellowship Program.</t>
  </si>
  <si>
    <t>Neurodevelopmental Disabilities Fellowship Program.</t>
  </si>
  <si>
    <t>Vascular Neurology Fellowship Program.</t>
  </si>
  <si>
    <t>Neurology Residency/Fellowship Programs, Other.</t>
  </si>
  <si>
    <t>Nuclear Medicine Residency/Fellowship Programs.</t>
  </si>
  <si>
    <t>Nuclear Medicine Residency/Fellowship Programs, Other.</t>
  </si>
  <si>
    <t>Obstetrics and Gynecology Residency/Fellowship Programs.</t>
  </si>
  <si>
    <t>Gynecologic Oncology Fellowship Program.</t>
  </si>
  <si>
    <t>Maternal and Fetal Medicine Fellowship Program.</t>
  </si>
  <si>
    <t>Reproductive Endocrinology/Infertility Fellowship Program.</t>
  </si>
  <si>
    <t>Obstetrics and Gynecology Residency/Fellowship Programs, Other.</t>
  </si>
  <si>
    <t>Ophthalmology Residency/Fellowship Programs.</t>
  </si>
  <si>
    <t>Ophthalmology Residency/Fellowship Programs, Other.</t>
  </si>
  <si>
    <t>Orthopedic Surgery Residency/Fellowship Programs.</t>
  </si>
  <si>
    <t>Musculoskeletal Oncology Fellowship Program.</t>
  </si>
  <si>
    <t>Orthopedic Sports Medicine Fellowship Program.</t>
  </si>
  <si>
    <t>Orthopedic Surgery of the Spine Fellowship Program.</t>
  </si>
  <si>
    <t>Pediatric Orthopedics Fellowship Program.</t>
  </si>
  <si>
    <t>Orthopedic Surgery Residency/Fellowship Programs, Other.</t>
  </si>
  <si>
    <t>Osteopathic Medicine Residency/Fellowship Programs.</t>
  </si>
  <si>
    <t>Osteopathic Neuromusculoskeletal Medicine Residency Program.</t>
  </si>
  <si>
    <t>Osteopathic Medicine Residency/Fellowship Programs, Other.</t>
  </si>
  <si>
    <t>Otolaryngology Residency/Fellowship Programs.</t>
  </si>
  <si>
    <t>Neurotology Fellowship Program.</t>
  </si>
  <si>
    <t>Pediatric Otolaryngology Fellowship Program.</t>
  </si>
  <si>
    <t>Otolaryngology Residency/Fellowship Programs, Other.</t>
  </si>
  <si>
    <t>Pathology Residency/Fellowship Programs.</t>
  </si>
  <si>
    <t>Combined Anatomic and Clinical Pathology Residency Program.</t>
  </si>
  <si>
    <t>Anatomic Pathology Residency Program.</t>
  </si>
  <si>
    <t>Clinical Pathology Residency Program.</t>
  </si>
  <si>
    <t>Blood Banking/Transfusion Medicine Fellowship Program.</t>
  </si>
  <si>
    <t>Chemical Pathology Fellowship Program.</t>
  </si>
  <si>
    <t>Cytopathology Fellowship Program.</t>
  </si>
  <si>
    <t>Forensic Pathology Fellowship Program.</t>
  </si>
  <si>
    <t>Hematological Pathology Fellowship Program.</t>
  </si>
  <si>
    <t>Immunopathology Fellowship Program.</t>
  </si>
  <si>
    <t>Laboratory Medicine Fellowship Program.</t>
  </si>
  <si>
    <t>Medical Microbiology Fellowship Program.</t>
  </si>
  <si>
    <t>Molecular Genetic Pathology Fellowship Program.</t>
  </si>
  <si>
    <t>Neuropathology Fellowship Program.</t>
  </si>
  <si>
    <t>Pediatric Pathology Fellowship Program.</t>
  </si>
  <si>
    <t>Radioisotopic Pathology Fellowship Program.</t>
  </si>
  <si>
    <t>Pathology Residency/Fellowship Programs, Other.</t>
  </si>
  <si>
    <t>Pediatrics Residency/Fellowship Programs.</t>
  </si>
  <si>
    <t>Adolescent Medicine Fellowship Program.</t>
  </si>
  <si>
    <t>Child Abuse Pediatrics Fellowship Program.</t>
  </si>
  <si>
    <t>Developmental-Behavioral Pediatrics Fellowship Program.</t>
  </si>
  <si>
    <t>Neonatal-Perinatal Medicine Fellowship Program.</t>
  </si>
  <si>
    <t>Pediatric Cardiology Fellowship Program.</t>
  </si>
  <si>
    <t>Pediatric Critical Care Medicine Fellowship Program.</t>
  </si>
  <si>
    <t>Pediatric Emergency Medicine Fellowship Program.</t>
  </si>
  <si>
    <t>Pediatric Endocrinology Fellowship Program.</t>
  </si>
  <si>
    <t>Pediatric Gastroenterology Fellowship Program.</t>
  </si>
  <si>
    <t>Pediatric Hematology-Oncology Fellowship Program.</t>
  </si>
  <si>
    <t>Pediatric Infectious Diseases Fellowship Program.</t>
  </si>
  <si>
    <t>Pediatric Nephrology Fellowship Program.</t>
  </si>
  <si>
    <t>Pediatric Pulmonology Fellowship Program.</t>
  </si>
  <si>
    <t>Pediatric Rheumatology Fellowship Program.</t>
  </si>
  <si>
    <t>Pediatric Transplant Hepatology Fellowship Program.</t>
  </si>
  <si>
    <t>Pediatrics Residency/Fellowship Programs, Other.</t>
  </si>
  <si>
    <t>Physical Medicine and Rehabilitation Residency/Fellowship Programs.</t>
  </si>
  <si>
    <t>Spinal Cord Injury Medicine Fellowship Program.</t>
  </si>
  <si>
    <t>Pediatric Rehabilitation Medicine Fellowship Program.</t>
  </si>
  <si>
    <t>Physical Medicine and Rehabilitation Residency/Fellowship Programs, Other.</t>
  </si>
  <si>
    <t>Plastic Surgery Residency/Fellowship Programs.</t>
  </si>
  <si>
    <t>Integrated Plastic Surgery Residency Program.</t>
  </si>
  <si>
    <t>Plastic Surgery Within the Head and Neck Fellowship Program.</t>
  </si>
  <si>
    <t>Plastic Surgery Residency/Fellowship Programs, Other.</t>
  </si>
  <si>
    <t>Podiatric Medicine Residency/Fellowship Programs.</t>
  </si>
  <si>
    <t>Podiatric Medicine and Surgery Residency Program.</t>
  </si>
  <si>
    <t>Podiatric Medicine Residency/Fellowship Programs, Other.</t>
  </si>
  <si>
    <t>Preventive Medicine Residency/Fellowship Programs.</t>
  </si>
  <si>
    <t>Preventive Medicine Residency/Fellowship Programs, Other.</t>
  </si>
  <si>
    <t>Psychiatry Residency/Fellowship Programs.</t>
  </si>
  <si>
    <t>Addiction Psychiatry Fellowship Program.</t>
  </si>
  <si>
    <t>Child and Adolescent Psychiatry Fellowship Program.</t>
  </si>
  <si>
    <t>Consultation-Liaison Psychiatry Fellowship Program.</t>
  </si>
  <si>
    <t>Forensic Psychiatry Fellowship Program.</t>
  </si>
  <si>
    <t>Geriatric Psychiatry Fellowship Program.</t>
  </si>
  <si>
    <t>Psychiatry Residency/Fellowship Programs, Other.</t>
  </si>
  <si>
    <t>Radiation Oncology Residency/Fellowship Programs.</t>
  </si>
  <si>
    <t>Radiation Oncology Residency/Fellowship Programs, Other.</t>
  </si>
  <si>
    <t>Radiology Residency/Fellowship Programs.</t>
  </si>
  <si>
    <t>Integrated Interventional Radiology Residency Program.</t>
  </si>
  <si>
    <t>Abdominal Radiology Fellowship Program.</t>
  </si>
  <si>
    <t>Musculoskeletal Radiology Fellowship Program.</t>
  </si>
  <si>
    <t>Neuroradiology Fellowship Program.</t>
  </si>
  <si>
    <t>Nuclear Radiology Fellowship Program.</t>
  </si>
  <si>
    <t>Pediatric Radiology Fellowship Program.</t>
  </si>
  <si>
    <t>Vascular and Interventional Radiology Fellowship Program.</t>
  </si>
  <si>
    <t>Radiology Residency/Fellowship Programs, Other.</t>
  </si>
  <si>
    <t>Surgery Residency/Fellowship Programs.</t>
  </si>
  <si>
    <t>Complex General Surgical Oncology Fellowship Program.</t>
  </si>
  <si>
    <t>Congenital Cardiac Surgery Fellowship Program.</t>
  </si>
  <si>
    <t>Pediatric Surgery Fellowship Program.</t>
  </si>
  <si>
    <t>Surgical Critical Care Fellowship Program.</t>
  </si>
  <si>
    <t>Thoracic Surgery Fellowship Program.</t>
  </si>
  <si>
    <t>Vascular Surgery Fellowship Program.</t>
  </si>
  <si>
    <t>Surgery Residency/Fellowship Programs, Other.</t>
  </si>
  <si>
    <t>Urology Residency/Fellowship Programs.</t>
  </si>
  <si>
    <t>Pediatric Urology Fellowship Program.</t>
  </si>
  <si>
    <t>Urology Residency/Fellowship Programs, Other.</t>
  </si>
  <si>
    <t>Medical Residency/Fellowship Programs, Other.</t>
  </si>
  <si>
    <t>Doctoral Summary</t>
  </si>
  <si>
    <t>NACE First-Destination Survey Template - Class of 2023</t>
  </si>
  <si>
    <t>Class of 2023:  July 1, 2022 - June 30, 2023</t>
  </si>
  <si>
    <r>
      <t xml:space="preserve">Deadline for Submission: </t>
    </r>
    <r>
      <rPr>
        <sz val="12"/>
        <color rgb="FFFF0000"/>
        <rFont val="Calibri"/>
        <family val="2"/>
        <scheme val="minor"/>
      </rPr>
      <t>April</t>
    </r>
    <r>
      <rPr>
        <sz val="12"/>
        <color indexed="10"/>
        <rFont val="Calibri"/>
        <family val="2"/>
      </rPr>
      <t xml:space="preserve"> 30, 2024</t>
    </r>
  </si>
  <si>
    <t xml:space="preserve">Please enter aggregated outcomes data for all students receiving an associate’s degree in the class of 2023 (please note: dual or multiple majors should be counted only once on this page). </t>
  </si>
  <si>
    <t xml:space="preserve">Please enter aggregated outcomes data for all students receiving a bachelor's degree in the class of 2023 (please note: dual or multiple majors should be counted only once on this page). </t>
  </si>
  <si>
    <t xml:space="preserve">Please enter aggregated outcomes data for all students receiving a master's degree in the class of 2023 (please note: dual or multiple majors should be counted only once on this page). </t>
  </si>
  <si>
    <t xml:space="preserve">Please enter aggregated outcomes data for all students receiving a doctoral degree in the class of 2023 (please note: dual or multiple majors should be counted only once on this page). </t>
  </si>
  <si>
    <t xml:space="preserve">On Master's and Doctoral tabs only* The number of graduates employed by an institution of higher learning to teach a set number of courses for a specified period of time—typically a semester appointment or a year-long contract. </t>
  </si>
  <si>
    <t>On Master's and Doctoral tabs only* The number of graduates contracted to be at an institution for a more extended period of time, e.g., for three years. At the end of the contracted period or sometime during the period, the graduate is promised to come under consideration for a “permanent” appointment.</t>
  </si>
  <si>
    <t># Post Grad Fellowship/ Internship FT</t>
  </si>
  <si>
    <t># Post Grad Fellowship/ Internship PT</t>
  </si>
  <si>
    <t>The number of graduates employed full-time (less than 30 hours per week) in postgraduate internships or fellowships. At the Doctoral level: named a fellowship/post doctoral program, e.g. residency*</t>
  </si>
  <si>
    <t>The number of graduates employed full-time (30 or more hours per week) in postgraduate internships or fellowships. At the Doctoral level: named a fellowship/post doctoral program, e.g. residency*</t>
  </si>
  <si>
    <t>The total number of known guaranteed bonus compensation for full-time employed graduates</t>
  </si>
  <si>
    <t>The number of graduates employed full-time (30 or more hours per week) as entrepreneurs - one who has started his own business (store, manufacturer, etc.) and has multiple customers/clients</t>
  </si>
  <si>
    <t>The number of graduates employed part-time  (less than 30 hours per week) as entrepreneurs - one who has started his own business (store, manufacturer, etc.) and has multiple customers/clients</t>
  </si>
  <si>
    <t>Official name of the higher education institution as reported to IPEDS</t>
  </si>
  <si>
    <t>The number of graduates employed full-time (30 or more hours per week) in a traditional employment setting (work for a corporation or individual; receive regularly scheduled compensation; emplyment relationship does not have a specified end date)</t>
  </si>
  <si>
    <t>The number of graduates employed part-time (less than 30 hours per week) in a traditional employment setting (work for a corporation or individual; receive regularly scheduled compensation; emplyment relationship does not have a specified end date)</t>
  </si>
  <si>
    <t>A Better U Beauty Barber Academy</t>
  </si>
  <si>
    <t>A T Still University of Health Sciences</t>
  </si>
  <si>
    <t>Aaniiih Nakoda College</t>
  </si>
  <si>
    <t>ABC Adult School</t>
  </si>
  <si>
    <t>ABC Beauty Academy</t>
  </si>
  <si>
    <t>ABCO Technology</t>
  </si>
  <si>
    <t>Abcott Institute</t>
  </si>
  <si>
    <t>Abilene Christian University</t>
  </si>
  <si>
    <t>Abilene Christian University-Undergraduate Online</t>
  </si>
  <si>
    <t>Abraham Baldwin Agricultural College</t>
  </si>
  <si>
    <t>Abraham Lincoln University</t>
  </si>
  <si>
    <t>Academia Serrant Inc</t>
  </si>
  <si>
    <t>Academy College</t>
  </si>
  <si>
    <t>Academy Di Capelli-School of Cosmetology</t>
  </si>
  <si>
    <t>Academy di Firenze</t>
  </si>
  <si>
    <t>Academy for Careers and Technology</t>
  </si>
  <si>
    <t>Academy for Five Element Acupuncture</t>
  </si>
  <si>
    <t>Academy for Jewish Religion-California</t>
  </si>
  <si>
    <t>Academy for Nursing and Health Occupations</t>
  </si>
  <si>
    <t>Academy for Salon Professionals</t>
  </si>
  <si>
    <t>Academy of Allied Health Careers</t>
  </si>
  <si>
    <t>Academy of Art University</t>
  </si>
  <si>
    <t>Academy of Beauty Professionals</t>
  </si>
  <si>
    <t>Academy of Career Training</t>
  </si>
  <si>
    <t>Academy of Careers and Technology</t>
  </si>
  <si>
    <t>Academy of Chinese Culture and Health Sciences</t>
  </si>
  <si>
    <t>Academy of Cosmetology</t>
  </si>
  <si>
    <t>Academy of Cosmetology and Esthetics NYC</t>
  </si>
  <si>
    <t>Academy of Cosmetology Inc</t>
  </si>
  <si>
    <t>Academy of Esthetics and Cosmetology</t>
  </si>
  <si>
    <t>Academy of Hair Design-Grenada</t>
  </si>
  <si>
    <t>Academy of Hair Design-Jackson</t>
  </si>
  <si>
    <t>Academy of Hair Design-Jasper</t>
  </si>
  <si>
    <t>Academy of Hair Design-Las Vegas</t>
  </si>
  <si>
    <t>Academy of Hair Design-Lufkin</t>
  </si>
  <si>
    <t>Academy of Hair Design-Oklahoma City</t>
  </si>
  <si>
    <t>Academy of Hair Design-Pearl</t>
  </si>
  <si>
    <t>Academy of Hair Design-Springfield</t>
  </si>
  <si>
    <t>Academy of Hair Technology</t>
  </si>
  <si>
    <t>Academy of Interactive Entertainment</t>
  </si>
  <si>
    <t>Academy of Massage and Bodywork</t>
  </si>
  <si>
    <t>Academy of Natural Therapy Inc</t>
  </si>
  <si>
    <t>Academy of Professional Cosmetology</t>
  </si>
  <si>
    <t>Academy of Salon and Spa</t>
  </si>
  <si>
    <t>Academy of Salon Professionals</t>
  </si>
  <si>
    <t>Academy of Vocal Arts</t>
  </si>
  <si>
    <t>Acaydia School of Aesthetics</t>
  </si>
  <si>
    <t>Access Careers</t>
  </si>
  <si>
    <t>Access Careers-Islandia</t>
  </si>
  <si>
    <t>Ace Cosmetology and Barber Training Center</t>
  </si>
  <si>
    <t>Ace Institute of Technology</t>
  </si>
  <si>
    <t>Acupuncture and Integrative Medicine College-Berkeley</t>
  </si>
  <si>
    <t>Acupuncture and Massage College</t>
  </si>
  <si>
    <t>Adams State University</t>
  </si>
  <si>
    <t>Adelphi University</t>
  </si>
  <si>
    <t>Adler Graduate School</t>
  </si>
  <si>
    <t>Adler University</t>
  </si>
  <si>
    <t>Adrian College</t>
  </si>
  <si>
    <t>Adrian H. Wallace Barber Academy</t>
  </si>
  <si>
    <t>Adrian's Beauty College of Turlock</t>
  </si>
  <si>
    <t>Adult and Community Education-Hudson</t>
  </si>
  <si>
    <t>Adult and Continuing Education-BCTS</t>
  </si>
  <si>
    <t>Advance Beauty College</t>
  </si>
  <si>
    <t>Advance Beauty Techs Academy</t>
  </si>
  <si>
    <t>Advance Science International College</t>
  </si>
  <si>
    <t>Advanced Barber College and Hair Design</t>
  </si>
  <si>
    <t>Advanced Beauty College</t>
  </si>
  <si>
    <t>Advanced Career Institute</t>
  </si>
  <si>
    <t>Advanced College</t>
  </si>
  <si>
    <t>Advanced College of Cosmetology</t>
  </si>
  <si>
    <t>Advanced Technology Institute</t>
  </si>
  <si>
    <t>Advanced Training Institute</t>
  </si>
  <si>
    <t>Advanced Welding Institute</t>
  </si>
  <si>
    <t>Advantage Career Institute</t>
  </si>
  <si>
    <t>Advantage Technical College</t>
  </si>
  <si>
    <t>Advantage Technical College-Aguadilla</t>
  </si>
  <si>
    <t>AdventHealth University</t>
  </si>
  <si>
    <t>Aesthetic Science Institute</t>
  </si>
  <si>
    <t>Aesthetics Institute</t>
  </si>
  <si>
    <t>Agape College of Business and Science</t>
  </si>
  <si>
    <t>Agnes Scott College</t>
  </si>
  <si>
    <t>AI Miami International University of Art and Design</t>
  </si>
  <si>
    <t>Aiken School of Cosmetology and Barbering</t>
  </si>
  <si>
    <t>Aiken Technical College</t>
  </si>
  <si>
    <t>Aims Community College</t>
  </si>
  <si>
    <t>Air Force Institute of Technology-Graduate School of Engineering &amp; Management</t>
  </si>
  <si>
    <t>Alabama A &amp; M University</t>
  </si>
  <si>
    <t>Alabama College of Osteopathic Medicine</t>
  </si>
  <si>
    <t>Alabama School of Nail Technology &amp; Cosmetology</t>
  </si>
  <si>
    <t>Alabama State College of Barber Styling</t>
  </si>
  <si>
    <t>Alabama State University</t>
  </si>
  <si>
    <t>Alamance Community College</t>
  </si>
  <si>
    <t>Alamo City Barber College</t>
  </si>
  <si>
    <t>Alamo Community College District Central Office</t>
  </si>
  <si>
    <t>Alaska Bible College</t>
  </si>
  <si>
    <t>Alaska Career College</t>
  </si>
  <si>
    <t>Alaska Christian College</t>
  </si>
  <si>
    <t>Alaska Pacific University</t>
  </si>
  <si>
    <t>Alaska Vocational Technical Center</t>
  </si>
  <si>
    <t>Albany BOCES-Adult Practical Nursing Program</t>
  </si>
  <si>
    <t>Albany College of Pharmacy and Health Sciences</t>
  </si>
  <si>
    <t>Albany Law School</t>
  </si>
  <si>
    <t>Albany Medical College</t>
  </si>
  <si>
    <t>Albany State University</t>
  </si>
  <si>
    <t>Albany Technical College</t>
  </si>
  <si>
    <t>Albert Einstein College of Medicine</t>
  </si>
  <si>
    <t>Albertus Magnus College</t>
  </si>
  <si>
    <t>Albion College</t>
  </si>
  <si>
    <t>Albizu University-Miami</t>
  </si>
  <si>
    <t>Albizu University-San Juan</t>
  </si>
  <si>
    <t>Albright College</t>
  </si>
  <si>
    <t>Alcorn State University</t>
  </si>
  <si>
    <t>Alder Graduate School of Education</t>
  </si>
  <si>
    <t>Alderson Broaddus University</t>
  </si>
  <si>
    <t>Alexander Academy</t>
  </si>
  <si>
    <t>Alexander Paul Institute of Hair Design</t>
  </si>
  <si>
    <t>Alexandria School of Scientific Therapeutics</t>
  </si>
  <si>
    <t>Alexandria Technical &amp; Community College</t>
  </si>
  <si>
    <t>Alfred University</t>
  </si>
  <si>
    <t>Alhambra Beauty College</t>
  </si>
  <si>
    <t>Alhambra Medical University</t>
  </si>
  <si>
    <t>Alice Lloyd College</t>
  </si>
  <si>
    <t>All Beauty College</t>
  </si>
  <si>
    <t>Allan Hancock College</t>
  </si>
  <si>
    <t>Allegany College of Maryland</t>
  </si>
  <si>
    <t>Allegheny College</t>
  </si>
  <si>
    <t>Allegheny Wesleyan College</t>
  </si>
  <si>
    <t>Allegiance Beauty School</t>
  </si>
  <si>
    <t>Allen College</t>
  </si>
  <si>
    <t>Allen County Community College</t>
  </si>
  <si>
    <t>Allen School-Brooklyn</t>
  </si>
  <si>
    <t>Allen School-Jamaica</t>
  </si>
  <si>
    <t>Allen School-Phoenix</t>
  </si>
  <si>
    <t>Allen University</t>
  </si>
  <si>
    <t>Allgood Beauty Institute</t>
  </si>
  <si>
    <t>Alliance Career Center</t>
  </si>
  <si>
    <t>Alliance Computing Solutions</t>
  </si>
  <si>
    <t>Alliant International University-San Diego</t>
  </si>
  <si>
    <t>Allied Health Careers Institute</t>
  </si>
  <si>
    <t>All-State Career School</t>
  </si>
  <si>
    <t>All-State Career School-Pittsburgh</t>
  </si>
  <si>
    <t>All-State Career-Baltimore</t>
  </si>
  <si>
    <t>Allstate Hairstyling &amp; Barber College</t>
  </si>
  <si>
    <t>Allure Beauty College</t>
  </si>
  <si>
    <t>Alma College</t>
  </si>
  <si>
    <t>ALP International Corporation</t>
  </si>
  <si>
    <t>Alpena Community College</t>
  </si>
  <si>
    <t>Altierus Career College-Bissonnet</t>
  </si>
  <si>
    <t>Altierus Career College-Norcross</t>
  </si>
  <si>
    <t>Altierus Career College-Tampa</t>
  </si>
  <si>
    <t>Altoona Beauty School Inc</t>
  </si>
  <si>
    <t>Altura College</t>
  </si>
  <si>
    <t>Alvernia University</t>
  </si>
  <si>
    <t>Alverno College</t>
  </si>
  <si>
    <t>Alvin Community College</t>
  </si>
  <si>
    <t>Amarillo College</t>
  </si>
  <si>
    <t>Amberton University</t>
  </si>
  <si>
    <t>Ambria College of Nursing</t>
  </si>
  <si>
    <t>America Evangelical University</t>
  </si>
  <si>
    <t>American Academy McAllister Institute of Funeral Service</t>
  </si>
  <si>
    <t>American Academy of Art College</t>
  </si>
  <si>
    <t>American Academy of Cosmetology</t>
  </si>
  <si>
    <t>American Academy of Dramatic Arts-Los Angeles</t>
  </si>
  <si>
    <t>American Academy of Dramatic Arts-New York</t>
  </si>
  <si>
    <t>American Academy of Health and Beauty</t>
  </si>
  <si>
    <t>American Academy of Health and Wellness</t>
  </si>
  <si>
    <t>American Advanced Technicians Institute</t>
  </si>
  <si>
    <t>American Baptist College</t>
  </si>
  <si>
    <t>American Barber and Beauty Academy</t>
  </si>
  <si>
    <t>American Beauty Academy</t>
  </si>
  <si>
    <t>American Beauty Academy-West Valley Campus</t>
  </si>
  <si>
    <t>American Beauty College</t>
  </si>
  <si>
    <t>American Beauty School</t>
  </si>
  <si>
    <t>American Beauty Schools</t>
  </si>
  <si>
    <t>American Business and Technology University</t>
  </si>
  <si>
    <t>American Career College-Anaheim</t>
  </si>
  <si>
    <t>American Career College-Los Angeles</t>
  </si>
  <si>
    <t>American Career College-Ontario</t>
  </si>
  <si>
    <t>American College of Acupuncture and Oriental Med</t>
  </si>
  <si>
    <t>American College of Barbering</t>
  </si>
  <si>
    <t>American College of Education</t>
  </si>
  <si>
    <t>American College of Financial Services</t>
  </si>
  <si>
    <t>American College of Hair Design Inc</t>
  </si>
  <si>
    <t>American College of Healthcare and Technology</t>
  </si>
  <si>
    <t>American College of Healthcare Sciences</t>
  </si>
  <si>
    <t>American College of the Building Arts</t>
  </si>
  <si>
    <t>American Conservatory Theater</t>
  </si>
  <si>
    <t>American Educational College</t>
  </si>
  <si>
    <t>American Film Institute Conservatory</t>
  </si>
  <si>
    <t>American Fitness and Nutrition Academy</t>
  </si>
  <si>
    <t>American Hair Academy</t>
  </si>
  <si>
    <t>American Indian OIC Inc</t>
  </si>
  <si>
    <t>American Institute of Alternative Medicine</t>
  </si>
  <si>
    <t>American Institute of Beauty</t>
  </si>
  <si>
    <t>American Institute of Healthcare &amp; Technology</t>
  </si>
  <si>
    <t>American Institute of Interior Design</t>
  </si>
  <si>
    <t>American Institute of Massage Therapy</t>
  </si>
  <si>
    <t>American Institute of Medical Sciences &amp; Education</t>
  </si>
  <si>
    <t>American Institute-Cherry Hill</t>
  </si>
  <si>
    <t>American Institute-Clifton</t>
  </si>
  <si>
    <t>American Institute-Somerset</t>
  </si>
  <si>
    <t>American Institute-Toms River</t>
  </si>
  <si>
    <t>American Institute-West Hartford</t>
  </si>
  <si>
    <t>American InterContinental University</t>
  </si>
  <si>
    <t>American InterContinental University-Atlanta</t>
  </si>
  <si>
    <t>American InterContinental University-Houston</t>
  </si>
  <si>
    <t>American International College</t>
  </si>
  <si>
    <t>American Islamic College</t>
  </si>
  <si>
    <t>American Jewish University</t>
  </si>
  <si>
    <t>American Massage &amp; Bodywork Institute</t>
  </si>
  <si>
    <t>American Medical Academy</t>
  </si>
  <si>
    <t>American Medical Institute Inc.</t>
  </si>
  <si>
    <t>American Medical Sciences Center</t>
  </si>
  <si>
    <t>American Musical and Dramatic Academy</t>
  </si>
  <si>
    <t>American National University</t>
  </si>
  <si>
    <t>American National University-Pikeville</t>
  </si>
  <si>
    <t>American Public University System</t>
  </si>
  <si>
    <t>American River College</t>
  </si>
  <si>
    <t>American Samoa Community College</t>
  </si>
  <si>
    <t>American Sentinel College of Nursing and Health Sciences</t>
  </si>
  <si>
    <t>American Technical Institute</t>
  </si>
  <si>
    <t>American Trade School</t>
  </si>
  <si>
    <t>American University</t>
  </si>
  <si>
    <t>American University of Health Sciences</t>
  </si>
  <si>
    <t>American University of Puerto Rico</t>
  </si>
  <si>
    <t>AmeriTech College-Draper</t>
  </si>
  <si>
    <t>AMG School of Nursing</t>
  </si>
  <si>
    <t>Amherst College</t>
  </si>
  <si>
    <t>Amridge University</t>
  </si>
  <si>
    <t>Amslee Institute</t>
  </si>
  <si>
    <t>Ana G. Mendez University</t>
  </si>
  <si>
    <t>Anabaptist Mennonite Biblical Seminary</t>
  </si>
  <si>
    <t>Ancilla College</t>
  </si>
  <si>
    <t>Anderson University</t>
  </si>
  <si>
    <t>Andrew College</t>
  </si>
  <si>
    <t>Andrews University</t>
  </si>
  <si>
    <t>Angeles College</t>
  </si>
  <si>
    <t>Angeles Institute</t>
  </si>
  <si>
    <t>Angelina College</t>
  </si>
  <si>
    <t>Angelo State University</t>
  </si>
  <si>
    <t>Animal Behavior College</t>
  </si>
  <si>
    <t>Ann Webb Skin Institute</t>
  </si>
  <si>
    <t>Anna Maria College</t>
  </si>
  <si>
    <t>Anne Arundel Community College</t>
  </si>
  <si>
    <t>Annenberg School of Nursing</t>
  </si>
  <si>
    <t>Anoka Technical College</t>
  </si>
  <si>
    <t>Anoka-Ramsey Community College</t>
  </si>
  <si>
    <t>Another Level Barbering and Cosmetology School</t>
  </si>
  <si>
    <t>Anousheh School of Hair</t>
  </si>
  <si>
    <t>Anson College of Cosmetology</t>
  </si>
  <si>
    <t>Antelope Valley Community College District</t>
  </si>
  <si>
    <t>Antigua College International</t>
  </si>
  <si>
    <t>Antilles School of Technical Careers</t>
  </si>
  <si>
    <t>Antioch College</t>
  </si>
  <si>
    <t>Antioch University</t>
  </si>
  <si>
    <t>Antioch University Online</t>
  </si>
  <si>
    <t>Antioch University-Los Angeles</t>
  </si>
  <si>
    <t>Antioch University-New England</t>
  </si>
  <si>
    <t>Antioch University-PhD Program in Leadership and Change</t>
  </si>
  <si>
    <t>Antioch University-Santa Barbara</t>
  </si>
  <si>
    <t>Antioch University-Seattle</t>
  </si>
  <si>
    <t>Antioch University-System Administration</t>
  </si>
  <si>
    <t>AOMA Graduate School of Integrative Medicine</t>
  </si>
  <si>
    <t>Aparicio-Levy Technical College</t>
  </si>
  <si>
    <t>Apex Academy Hair Skin Nails School of Cosmetology</t>
  </si>
  <si>
    <t>Apex College of Veterinary Technology</t>
  </si>
  <si>
    <t>Apex Technical School</t>
  </si>
  <si>
    <t>Apollo Career Center</t>
  </si>
  <si>
    <t>Appalachian Beauty School</t>
  </si>
  <si>
    <t>Appalachian Bible College</t>
  </si>
  <si>
    <t>Appalachian College of Pharmacy</t>
  </si>
  <si>
    <t>Appalachian School of Law</t>
  </si>
  <si>
    <t>Appalachian State University</t>
  </si>
  <si>
    <t>Applied Technology Services</t>
  </si>
  <si>
    <t>Aquinas College</t>
  </si>
  <si>
    <t>Aquinas Institute of Theology</t>
  </si>
  <si>
    <t>Arapahoe Community College</t>
  </si>
  <si>
    <t>Arcadia University</t>
  </si>
  <si>
    <t>Arclabs</t>
  </si>
  <si>
    <t>Arizona Academy of Beauty</t>
  </si>
  <si>
    <t>Arizona Board of Regents</t>
  </si>
  <si>
    <t>Arizona Christian University</t>
  </si>
  <si>
    <t>Arizona College of Nursing-Dallas</t>
  </si>
  <si>
    <t>Arizona College of Nursing-Fort Lauderdale</t>
  </si>
  <si>
    <t>Arizona College of Nursing-Las Vegas</t>
  </si>
  <si>
    <t>Arizona College of Nursing-Phoenix</t>
  </si>
  <si>
    <t>Arizona College of Nursing-Salt Lake City</t>
  </si>
  <si>
    <t>Arizona College of Nursing-Tampa</t>
  </si>
  <si>
    <t>Arizona College of Nursing-Tempe</t>
  </si>
  <si>
    <t>Arizona College of Nursing-Tucson</t>
  </si>
  <si>
    <t>Arizona College-Glendale</t>
  </si>
  <si>
    <t>Arizona College-Mesa</t>
  </si>
  <si>
    <t>Arizona Culinary Institute</t>
  </si>
  <si>
    <t>Arizona School of Acupuncture and Oriental Medicine</t>
  </si>
  <si>
    <t>Arizona School of Integrative Studies</t>
  </si>
  <si>
    <t>Arizona State University Campus Immersion</t>
  </si>
  <si>
    <t>Arizona State University Digital Immersion</t>
  </si>
  <si>
    <t>Arizona Western College</t>
  </si>
  <si>
    <t>Arkansas Baptist College</t>
  </si>
  <si>
    <t>Arkansas Beauty College</t>
  </si>
  <si>
    <t>Arkansas Beauty School-Little Rock</t>
  </si>
  <si>
    <t>Arkansas Colleges of Health Education</t>
  </si>
  <si>
    <t>Arkansas Northeastern College</t>
  </si>
  <si>
    <t>Arkansas State University</t>
  </si>
  <si>
    <t>Arkansas State University Mid-South</t>
  </si>
  <si>
    <t>Arkansas State University System</t>
  </si>
  <si>
    <t>Arkansas State University Three Rivers</t>
  </si>
  <si>
    <t>Arkansas State University-Beebe</t>
  </si>
  <si>
    <t>Arkansas State University-Mountain Home</t>
  </si>
  <si>
    <t>Arkansas State University-Newport</t>
  </si>
  <si>
    <t>Arkansas Tech University</t>
  </si>
  <si>
    <t>Arkansas Technical School</t>
  </si>
  <si>
    <t>Arkansas Welding Academy</t>
  </si>
  <si>
    <t>Arlington Baptist University</t>
  </si>
  <si>
    <t>Arlington Career Institute</t>
  </si>
  <si>
    <t>Arnolds Beauty School</t>
  </si>
  <si>
    <t>Arnot Ogden Medical Center</t>
  </si>
  <si>
    <t>Arrojo Cosmetology School</t>
  </si>
  <si>
    <t>Art Academy of Cincinnati</t>
  </si>
  <si>
    <t>Art Center College of Design</t>
  </si>
  <si>
    <t>Arthur's Beauty College</t>
  </si>
  <si>
    <t>Artistic Academy of Hair Design</t>
  </si>
  <si>
    <t>Artistic Nails and Beauty Academy-Lakeland</t>
  </si>
  <si>
    <t>Artistic Nails and Beauty Academy-Tampa</t>
  </si>
  <si>
    <t>ASA College</t>
  </si>
  <si>
    <t>Asbury Theological Seminary</t>
  </si>
  <si>
    <t>Asbury University</t>
  </si>
  <si>
    <t>Ascent College</t>
  </si>
  <si>
    <t>Asher College</t>
  </si>
  <si>
    <t>Asher Institute of Hampton</t>
  </si>
  <si>
    <t>Asheville-Buncombe Technical Community College</t>
  </si>
  <si>
    <t>Ashford University</t>
  </si>
  <si>
    <t>Ashland Community and Technical College</t>
  </si>
  <si>
    <t>Ashland County-West Holmes Career Center</t>
  </si>
  <si>
    <t>Ashland University</t>
  </si>
  <si>
    <t>Ashtabula County Technical and Career Campus</t>
  </si>
  <si>
    <t>ASI Career Institute</t>
  </si>
  <si>
    <t>Asian-American International Beauty College</t>
  </si>
  <si>
    <t>ASM Beauty World Academy</t>
  </si>
  <si>
    <t>Asnuntuck Community College</t>
  </si>
  <si>
    <t>Aspen Beauty Academy of Laurel</t>
  </si>
  <si>
    <t>Aspen University</t>
  </si>
  <si>
    <t>ASPIRA City College</t>
  </si>
  <si>
    <t>Assabet Valley Regional Technical School</t>
  </si>
  <si>
    <t>Associated Barber College of San Diego</t>
  </si>
  <si>
    <t>Associated Beth Rivkah Schools</t>
  </si>
  <si>
    <t>Associated Technical College-Los Angeles</t>
  </si>
  <si>
    <t>Associated Technical College-San Diego</t>
  </si>
  <si>
    <t>Assumption College for Sisters</t>
  </si>
  <si>
    <t>Assumption University</t>
  </si>
  <si>
    <t>ATA Career Education</t>
  </si>
  <si>
    <t>ATA College</t>
  </si>
  <si>
    <t>ATA College-Cincinnati</t>
  </si>
  <si>
    <t>Atelier Esthetique Institute of Esthetics</t>
  </si>
  <si>
    <t>Atenas College</t>
  </si>
  <si>
    <t>Athena Career Academy</t>
  </si>
  <si>
    <t>Athenaeum of Ohio</t>
  </si>
  <si>
    <t>Athens State University</t>
  </si>
  <si>
    <t>Athens Technical College</t>
  </si>
  <si>
    <t>ATI College-Whittier</t>
  </si>
  <si>
    <t>Atlanta Institute of Music and Media</t>
  </si>
  <si>
    <t>Atlanta Metropolitan State College</t>
  </si>
  <si>
    <t>Atlanta School of Massage</t>
  </si>
  <si>
    <t>Atlanta Technical College</t>
  </si>
  <si>
    <t>Atlanta's John Marshall Law School</t>
  </si>
  <si>
    <t>Atlantic Cape Community College</t>
  </si>
  <si>
    <t>Atlantic Institute of Oriental Medicine</t>
  </si>
  <si>
    <t>Atlantic Technical College</t>
  </si>
  <si>
    <t>Atlantic University College</t>
  </si>
  <si>
    <t>Atlantis University</t>
  </si>
  <si>
    <t>Auburn Career Center</t>
  </si>
  <si>
    <t>Auburn University</t>
  </si>
  <si>
    <t>Auburn University at Montgomery</t>
  </si>
  <si>
    <t>Augsburg University</t>
  </si>
  <si>
    <t>Augusta School of Massage</t>
  </si>
  <si>
    <t>Augusta Technical College</t>
  </si>
  <si>
    <t>Augusta University</t>
  </si>
  <si>
    <t>Augustana College</t>
  </si>
  <si>
    <t>Augustana University</t>
  </si>
  <si>
    <t>Auguste Escoffier School of Culinary Arts-Austin</t>
  </si>
  <si>
    <t>Auguste Escoffier School of Culinary Arts-Boulder</t>
  </si>
  <si>
    <t>Aultman College of Nursing and Health Sciences</t>
  </si>
  <si>
    <t>Aurora University</t>
  </si>
  <si>
    <t>Austin Career Institute</t>
  </si>
  <si>
    <t>Austin College</t>
  </si>
  <si>
    <t>Austin Community College District</t>
  </si>
  <si>
    <t>Austin Graduate School of Theology</t>
  </si>
  <si>
    <t>Austin Kade Academy</t>
  </si>
  <si>
    <t>Austin Peay State University</t>
  </si>
  <si>
    <t>Austin Presbyterian Theological Seminary</t>
  </si>
  <si>
    <t>Austin's Beauty College Inc</t>
  </si>
  <si>
    <t>Automeca Technical College-Aguadilla</t>
  </si>
  <si>
    <t>Automeca Technical College-Bayamon</t>
  </si>
  <si>
    <t>Automeca Technical College-Caguas</t>
  </si>
  <si>
    <t>Automeca Technical College-Ponce</t>
  </si>
  <si>
    <t>Automotive Training Center-Exton</t>
  </si>
  <si>
    <t>Automotive Training Center-Warminster</t>
  </si>
  <si>
    <t>Autry Technology Center</t>
  </si>
  <si>
    <t>Avalon Institute-Aurora</t>
  </si>
  <si>
    <t>Avalon Institute-Las Vegas</t>
  </si>
  <si>
    <t>Avalon Institute-Layton</t>
  </si>
  <si>
    <t>Avalon Institute-Mesa</t>
  </si>
  <si>
    <t>Avalon Institute-Phoenix</t>
  </si>
  <si>
    <t>Avalon School of Cosmetology</t>
  </si>
  <si>
    <t>Ave Maria School of Law</t>
  </si>
  <si>
    <t>Ave Maria University</t>
  </si>
  <si>
    <t>Aveda Arts &amp; Sciences Institute Minneapolis</t>
  </si>
  <si>
    <t>Aveda Arts &amp; Sciences Institute Seattle</t>
  </si>
  <si>
    <t>Aveda Arts &amp; Sciences Institute-Baton Rouge</t>
  </si>
  <si>
    <t>Aveda Arts &amp; Sciences Institute-Covington</t>
  </si>
  <si>
    <t>Aveda Arts &amp; Sciences Institute-Lafayette</t>
  </si>
  <si>
    <t>Aveda Arts &amp; Sciences Institute-New York</t>
  </si>
  <si>
    <t>Aveda Arts &amp; Sciences Institute-San Antonio</t>
  </si>
  <si>
    <t>Aveda Fredric's Institute-Cincinnati</t>
  </si>
  <si>
    <t>Aveda Fredric's Institute-Indianapolis</t>
  </si>
  <si>
    <t>Aveda Institute Portland-Vancouver Campus</t>
  </si>
  <si>
    <t>Aveda Institute-Boise</t>
  </si>
  <si>
    <t>Aveda Institute-Chapel Hill</t>
  </si>
  <si>
    <t>Aveda Institute-Chicago</t>
  </si>
  <si>
    <t>Aveda Institute-Columbus</t>
  </si>
  <si>
    <t>Aveda Institute-Denver</t>
  </si>
  <si>
    <t>Aveda Institute-Des Moines</t>
  </si>
  <si>
    <t>Aveda Institute-Los Angeles</t>
  </si>
  <si>
    <t>Aveda Institute-Madison</t>
  </si>
  <si>
    <t>Aveda Institute-Maryland</t>
  </si>
  <si>
    <t>Aveda Institute-New Mexico</t>
  </si>
  <si>
    <t>Aveda Institute-Phoenix</t>
  </si>
  <si>
    <t>Aveda Institute-Portland</t>
  </si>
  <si>
    <t>Aveda Institute-Provo</t>
  </si>
  <si>
    <t>Aveda Institute-South Florida</t>
  </si>
  <si>
    <t>Aveda Institute-Tallahassee</t>
  </si>
  <si>
    <t>Aveda Institute-Tucson</t>
  </si>
  <si>
    <t>Aveda Institute-Twin Falls</t>
  </si>
  <si>
    <t>Avenue Academy, A Cosmetology Institute</t>
  </si>
  <si>
    <t>Avenue Five Institute</t>
  </si>
  <si>
    <t>Avenue Five Institute-South Austin Campus</t>
  </si>
  <si>
    <t>Avera McKennan Hospital School of Radiologic Technology</t>
  </si>
  <si>
    <t>Avera Sacred Heart Hospital</t>
  </si>
  <si>
    <t>Averett University</t>
  </si>
  <si>
    <t>Averett University-Non-Traditional Programs</t>
  </si>
  <si>
    <t>Avery James School of Cosmetology</t>
  </si>
  <si>
    <t>Avi Career Training</t>
  </si>
  <si>
    <t>Aviation Institute of Maintenance-Atlanta</t>
  </si>
  <si>
    <t>Aviation Institute of Maintenance-Charlotte</t>
  </si>
  <si>
    <t>Aviation Institute of Maintenance-Dallas</t>
  </si>
  <si>
    <t>Aviation Institute of Maintenance-Fremont</t>
  </si>
  <si>
    <t>Aviation Institute of Maintenance-Houston</t>
  </si>
  <si>
    <t>Aviation Institute of Maintenance-Indianapolis</t>
  </si>
  <si>
    <t>Aviation Institute of Maintenance-Kansas City</t>
  </si>
  <si>
    <t>Aviation Institute of Maintenance-Las Vegas</t>
  </si>
  <si>
    <t>Aviation Institute of Maintenance-Manassas</t>
  </si>
  <si>
    <t>Aviation Institute of Maintenance-Norfolk</t>
  </si>
  <si>
    <t>Aviation Institute of Maintenance-Orlando</t>
  </si>
  <si>
    <t>Aviation Institute of Maintenance-Philadelphia</t>
  </si>
  <si>
    <t>Aviation Institute of Maintenance-Teterboro</t>
  </si>
  <si>
    <t>Aviator College of Aeronautical Science and Technology</t>
  </si>
  <si>
    <t>Avila University</t>
  </si>
  <si>
    <t>Award Beauty School</t>
  </si>
  <si>
    <t>Ayers Career College</t>
  </si>
  <si>
    <t>Azusa Pacific University</t>
  </si>
  <si>
    <t>B M Spurr School of Practical Nursing</t>
  </si>
  <si>
    <t>Babson College</t>
  </si>
  <si>
    <t>Bacone College</t>
  </si>
  <si>
    <t>Bais Binyomin Academy</t>
  </si>
  <si>
    <t>Bais HaMedrash and Mesivta of Baltimore</t>
  </si>
  <si>
    <t>Bais Medrash Elyon</t>
  </si>
  <si>
    <t>Bais Medrash Mayan Hatorah</t>
  </si>
  <si>
    <t>Bais Medrash of Dexter Park</t>
  </si>
  <si>
    <t>Bais Medrash Toras Chesed</t>
  </si>
  <si>
    <t>Baker College</t>
  </si>
  <si>
    <t>Baker University</t>
  </si>
  <si>
    <t>Bakersfield College</t>
  </si>
  <si>
    <t>Bakke Graduate University</t>
  </si>
  <si>
    <t>Baldwin Beauty School-North Austin</t>
  </si>
  <si>
    <t>Baldwin Beauty School-South Austin</t>
  </si>
  <si>
    <t>Baldwin Park Adult &amp; Community Education</t>
  </si>
  <si>
    <t>Baldwin Wallace University</t>
  </si>
  <si>
    <t>Baldy View Regional Occupational Program</t>
  </si>
  <si>
    <t>Ball State University</t>
  </si>
  <si>
    <t>Baltimore City Community College</t>
  </si>
  <si>
    <t>Baltimore Studio of Hair Design</t>
  </si>
  <si>
    <t>Bancroft School of Massage Therapy</t>
  </si>
  <si>
    <t>Bank Street College of Education</t>
  </si>
  <si>
    <t>Baptist Bible College</t>
  </si>
  <si>
    <t>Baptist Health College Little Rock</t>
  </si>
  <si>
    <t>Baptist Health Sciences University</t>
  </si>
  <si>
    <t>Baptist Health System School of Health Professions</t>
  </si>
  <si>
    <t>Baptist Missionary Association Theological Seminary</t>
  </si>
  <si>
    <t>Baptist University of the Americas</t>
  </si>
  <si>
    <t>Barber &amp; Beauty Institute of New York</t>
  </si>
  <si>
    <t>Barber and Beauty Academy of Pennsylvania</t>
  </si>
  <si>
    <t>Barber Institute of Texas</t>
  </si>
  <si>
    <t>Barber School of Pittsburgh</t>
  </si>
  <si>
    <t>Barber Tech Academy</t>
  </si>
  <si>
    <t>Barclay College</t>
  </si>
  <si>
    <t>Bard College</t>
  </si>
  <si>
    <t>Bard College at Simon's Rock</t>
  </si>
  <si>
    <t>Barnard College</t>
  </si>
  <si>
    <t>Barnes-Jewish College Goldfarb School of Nursing</t>
  </si>
  <si>
    <t>Barrett and Company School of Hair Design</t>
  </si>
  <si>
    <t>Barry University</t>
  </si>
  <si>
    <t>Barstow Community College</t>
  </si>
  <si>
    <t>Barton College</t>
  </si>
  <si>
    <t>Barton County Community College</t>
  </si>
  <si>
    <t>Bastyr University</t>
  </si>
  <si>
    <t>Bates College</t>
  </si>
  <si>
    <t>Bates Technical College</t>
  </si>
  <si>
    <t>Baton Rouge Community College</t>
  </si>
  <si>
    <t>Baton Rouge General Medical Center School of Nursing &amp; School of Radiologic Technology</t>
  </si>
  <si>
    <t>Baton Rouge School of Computers</t>
  </si>
  <si>
    <t>Bay Area Medical Academy</t>
  </si>
  <si>
    <t>Bay de Noc Community College</t>
  </si>
  <si>
    <t>Bay Mills Community College</t>
  </si>
  <si>
    <t>Bay Path University</t>
  </si>
  <si>
    <t>Bay State College</t>
  </si>
  <si>
    <t>Bayamon Community College</t>
  </si>
  <si>
    <t>Baylor College of Medicine</t>
  </si>
  <si>
    <t>Baylor University</t>
  </si>
  <si>
    <t>Bayshire Academy of Beauty Craft Inc</t>
  </si>
  <si>
    <t>Beacon College</t>
  </si>
  <si>
    <t>Beal University</t>
  </si>
  <si>
    <t>Beau Monde Academy of Barbering and Cosmetology</t>
  </si>
  <si>
    <t>Beaufort County Community College</t>
  </si>
  <si>
    <t>Beaumont Adult School</t>
  </si>
  <si>
    <t>Beauty Academy of South Florida</t>
  </si>
  <si>
    <t>Beauty Technical College Inc</t>
  </si>
  <si>
    <t>Beaver Falls Beauty Academy</t>
  </si>
  <si>
    <t>Becker College</t>
  </si>
  <si>
    <t>Beckfield College-Florence</t>
  </si>
  <si>
    <t>Be'er Yaakov Talmudic Seminary</t>
  </si>
  <si>
    <t>Beis Medrash Heichal Dovid</t>
  </si>
  <si>
    <t>Belanger School of Nursing</t>
  </si>
  <si>
    <t>Belhaven University</t>
  </si>
  <si>
    <t>Bell Mar Beauty College</t>
  </si>
  <si>
    <t>Bella Academy of Cosmetology</t>
  </si>
  <si>
    <t>Bella Capelli Academy</t>
  </si>
  <si>
    <t>Bella Cosmetology and Barber College</t>
  </si>
  <si>
    <t>Bellarmine University</t>
  </si>
  <si>
    <t>Bellasa Professional Institute</t>
  </si>
  <si>
    <t>Bell-Brown Medical Institute</t>
  </si>
  <si>
    <t>Belle Academy of Cosmetology LLC</t>
  </si>
  <si>
    <t>Bellevue College</t>
  </si>
  <si>
    <t>Bellevue University</t>
  </si>
  <si>
    <t>Bellin College</t>
  </si>
  <si>
    <t>Bellingham Technical College</t>
  </si>
  <si>
    <t>Bellus Academy</t>
  </si>
  <si>
    <t>Bellus Academy-Chula Vista</t>
  </si>
  <si>
    <t>Bellus Academy-El Cajon</t>
  </si>
  <si>
    <t>Bellus Academy-Poway</t>
  </si>
  <si>
    <t>Belmont Abbey College</t>
  </si>
  <si>
    <t>Belmont College</t>
  </si>
  <si>
    <t>Belmont University</t>
  </si>
  <si>
    <t>Beloit College</t>
  </si>
  <si>
    <t>Bel-Rea Institute of Animal Technology</t>
  </si>
  <si>
    <t>Bemidji State University</t>
  </si>
  <si>
    <t>Ben Franklin Career Center</t>
  </si>
  <si>
    <t>Benedict College</t>
  </si>
  <si>
    <t>Benedictine College</t>
  </si>
  <si>
    <t>Benedictine University</t>
  </si>
  <si>
    <t>Bene's Career Academy</t>
  </si>
  <si>
    <t>Benjamin Franklin Institute of Technology</t>
  </si>
  <si>
    <t>Bennett Career Institute</t>
  </si>
  <si>
    <t>Bennett College</t>
  </si>
  <si>
    <t>Bennington College</t>
  </si>
  <si>
    <t>Bentley University</t>
  </si>
  <si>
    <t>Berea College</t>
  </si>
  <si>
    <t>Bergen Community College</t>
  </si>
  <si>
    <t>Bergin University of Canine Studies</t>
  </si>
  <si>
    <t>Berk Trade and Business School</t>
  </si>
  <si>
    <t>Berkeley City College</t>
  </si>
  <si>
    <t>Berkeley College-New York</t>
  </si>
  <si>
    <t>Berkeley College-Woodland Park</t>
  </si>
  <si>
    <t>Berkeley School of Theology</t>
  </si>
  <si>
    <t>Berklee College of Music</t>
  </si>
  <si>
    <t>Berkowits School of Electrolysis</t>
  </si>
  <si>
    <t>Berks Career &amp; Technology Center</t>
  </si>
  <si>
    <t>Berkshire Community College</t>
  </si>
  <si>
    <t>Berry College</t>
  </si>
  <si>
    <t>Best Care College</t>
  </si>
  <si>
    <t>Bet Medrash Gadol Ateret Torah</t>
  </si>
  <si>
    <t>Beth Hamedrash Shaarei Yosher Institute</t>
  </si>
  <si>
    <t>Beth Medrash Govoha</t>
  </si>
  <si>
    <t>Beth Medrash Meor Yitzchok</t>
  </si>
  <si>
    <t>Beth Medrash of Asbury Park</t>
  </si>
  <si>
    <t>Bethany College</t>
  </si>
  <si>
    <t>Bethany Global University</t>
  </si>
  <si>
    <t>Bethany Lutheran College</t>
  </si>
  <si>
    <t>Bethany Theological Seminary</t>
  </si>
  <si>
    <t>Bethel College-North Newton</t>
  </si>
  <si>
    <t>Bethel Seminary-San Diego</t>
  </si>
  <si>
    <t>Bethel University</t>
  </si>
  <si>
    <t>Bethesda University</t>
  </si>
  <si>
    <t>Bethlehem College &amp; Seminary</t>
  </si>
  <si>
    <t>Bethune-Cookman University</t>
  </si>
  <si>
    <t>Beulah Heights University</t>
  </si>
  <si>
    <t>Beverly Hills Design Institute</t>
  </si>
  <si>
    <t>Bevill State Community College</t>
  </si>
  <si>
    <t>Bexley Hall Seabury Western Theological Seminary Federation, Inc.</t>
  </si>
  <si>
    <t>Beyond 21st Century Beauty Academy</t>
  </si>
  <si>
    <t>Beyond Measure Barbering Institute</t>
  </si>
  <si>
    <t>Big Bend Community College</t>
  </si>
  <si>
    <t>Big Bend Technical College</t>
  </si>
  <si>
    <t>Big Sandy Community and Technical College</t>
  </si>
  <si>
    <t>Binghamton University</t>
  </si>
  <si>
    <t>Biola University</t>
  </si>
  <si>
    <t>Birmingham-Southern College</t>
  </si>
  <si>
    <t>Birthingway College of Midwifery</t>
  </si>
  <si>
    <t>Birthwise Midwifery School</t>
  </si>
  <si>
    <t>Bishop State Community College</t>
  </si>
  <si>
    <t>Bismarck State College</t>
  </si>
  <si>
    <t>Bitterroot School of Cosmetology</t>
  </si>
  <si>
    <t>BJ's Beauty &amp; Barber College</t>
  </si>
  <si>
    <t>BK Cosmo College of Cosmetology</t>
  </si>
  <si>
    <t>Black Hawk College</t>
  </si>
  <si>
    <t>Black Hills State University</t>
  </si>
  <si>
    <t>Black River Technical College</t>
  </si>
  <si>
    <t>Blackburn College</t>
  </si>
  <si>
    <t>Blackfeet Community College</t>
  </si>
  <si>
    <t>Blackhawk Technical College</t>
  </si>
  <si>
    <t>Blackstone Valley Vocational Regional School District</t>
  </si>
  <si>
    <t>Bladen Community College</t>
  </si>
  <si>
    <t>Blades School of Hair Design</t>
  </si>
  <si>
    <t>Blake Austin College</t>
  </si>
  <si>
    <t>Blalock's Professional Beauty College</t>
  </si>
  <si>
    <t>Blessing Hospital School of Radiologic Technology</t>
  </si>
  <si>
    <t>Blessing Rieman College of Nursing and Health Sciences</t>
  </si>
  <si>
    <t>Blinn College</t>
  </si>
  <si>
    <t>Bloomfield College</t>
  </si>
  <si>
    <t>Bloomsburg University of Pennsylvania</t>
  </si>
  <si>
    <t>Blue Cliff Career College</t>
  </si>
  <si>
    <t>Blue Cliff College-Alexandria</t>
  </si>
  <si>
    <t>Blue Cliff College-Fayetteville</t>
  </si>
  <si>
    <t>Blue Cliff College-Gulfport</t>
  </si>
  <si>
    <t>Blue Cliff College-Houma</t>
  </si>
  <si>
    <t>Blue Cliff College-Lafayette</t>
  </si>
  <si>
    <t>Blue Cliff College-Metairie</t>
  </si>
  <si>
    <t>Blue Hills Regional Technical School</t>
  </si>
  <si>
    <t>Blue Mountain College</t>
  </si>
  <si>
    <t>Blue Mountain Community College</t>
  </si>
  <si>
    <t>Blue Ridge Community and Technical College</t>
  </si>
  <si>
    <t>Blue Ridge Community College</t>
  </si>
  <si>
    <t>Bluefield State College</t>
  </si>
  <si>
    <t>Bluefield University</t>
  </si>
  <si>
    <t>Bluegrass Community and Technical College</t>
  </si>
  <si>
    <t>Bluffton University</t>
  </si>
  <si>
    <t>Blush School of Makeup</t>
  </si>
  <si>
    <t>Bnos Zion Of Bobov Seminary</t>
  </si>
  <si>
    <t>Board of Trustees-Mississippi State Institutions of Higher Learning</t>
  </si>
  <si>
    <t>Bob Jones University</t>
  </si>
  <si>
    <t>Boca Beauty Academy</t>
  </si>
  <si>
    <t>Boca Beauty Academy-Parkland</t>
  </si>
  <si>
    <t>Body Wisdom Massage Therapy School</t>
  </si>
  <si>
    <t>Boise Barber College</t>
  </si>
  <si>
    <t>Boise Bible College</t>
  </si>
  <si>
    <t>Boise State University</t>
  </si>
  <si>
    <t>Bold Beauty Academy</t>
  </si>
  <si>
    <t>Bolivar Technical College</t>
  </si>
  <si>
    <t>Bon Secours Memorial College of Nursing</t>
  </si>
  <si>
    <t>Bon Secours St Mary's Hospital School of Medical Imaging</t>
  </si>
  <si>
    <t>Bonnie Joseph Academy of Cosmetology &amp; Barbering</t>
  </si>
  <si>
    <t>Boricua College</t>
  </si>
  <si>
    <t>Borner's Barber College</t>
  </si>
  <si>
    <t>Bos-Man's Barber College</t>
  </si>
  <si>
    <t>Bossier Parish Community College</t>
  </si>
  <si>
    <t>Boston Architectural College</t>
  </si>
  <si>
    <t>Boston Baptist College</t>
  </si>
  <si>
    <t>Boston College</t>
  </si>
  <si>
    <t>Boston Graduate School of Psychoanalysis Inc</t>
  </si>
  <si>
    <t>Boston University</t>
  </si>
  <si>
    <t>Bowdoin College</t>
  </si>
  <si>
    <t>Bowie State University</t>
  </si>
  <si>
    <t>Bowling Green State University-Firelands</t>
  </si>
  <si>
    <t>Bowling Green State University-Main Campus</t>
  </si>
  <si>
    <t>Bradley University</t>
  </si>
  <si>
    <t>Brand College</t>
  </si>
  <si>
    <t>Brandeis University</t>
  </si>
  <si>
    <t>Branford Academy of Hair &amp; Cosmetology-Bridgeport</t>
  </si>
  <si>
    <t>Branford Academy of Hair and Cosmetology</t>
  </si>
  <si>
    <t>Brazosport College</t>
  </si>
  <si>
    <t>Brenau University</t>
  </si>
  <si>
    <t>Brescia University</t>
  </si>
  <si>
    <t>Brevard College</t>
  </si>
  <si>
    <t>Brewster Technical College</t>
  </si>
  <si>
    <t>Brewton-Parker College</t>
  </si>
  <si>
    <t>Briar Cliff University</t>
  </si>
  <si>
    <t>Bridgerland Technical College</t>
  </si>
  <si>
    <t>Bridges Beauty College</t>
  </si>
  <si>
    <t>BridgeValley Community &amp; Technical College</t>
  </si>
  <si>
    <t>Bridgewater College</t>
  </si>
  <si>
    <t>Bridgewater State University</t>
  </si>
  <si>
    <t>Brigham Young University</t>
  </si>
  <si>
    <t>Brigham Young University-Hawaii</t>
  </si>
  <si>
    <t>Brigham Young University-Idaho</t>
  </si>
  <si>
    <t>Brighton Center's Center for Employment Training</t>
  </si>
  <si>
    <t>Brighton Institute of Cosmetology</t>
  </si>
  <si>
    <t>Brightpoint Community College</t>
  </si>
  <si>
    <t>Brillare Beauty Institute</t>
  </si>
  <si>
    <t>Bristol Community College</t>
  </si>
  <si>
    <t>Bristol Technical Education Center</t>
  </si>
  <si>
    <t>Brite Divinity School</t>
  </si>
  <si>
    <t>Brittany Beauty Academy</t>
  </si>
  <si>
    <t>Broadview College</t>
  </si>
  <si>
    <t>Broken Arrow Beauty College</t>
  </si>
  <si>
    <t>Brookdale Community College</t>
  </si>
  <si>
    <t>Brookline College-Albuquerque</t>
  </si>
  <si>
    <t>Brookline College-Phoenix</t>
  </si>
  <si>
    <t>Brookline College-Tempe</t>
  </si>
  <si>
    <t>Brookline College-Tucson</t>
  </si>
  <si>
    <t>Brooklyn Law School</t>
  </si>
  <si>
    <t>Broome Delaware Tioga BOCES-Practical Nursing Program</t>
  </si>
  <si>
    <t>Broward College</t>
  </si>
  <si>
    <t>Brown &amp; Clermont Adult Career Campuses</t>
  </si>
  <si>
    <t>Brown Aveda Institute-Mentor</t>
  </si>
  <si>
    <t>Brown Aveda Institute-Strongsville</t>
  </si>
  <si>
    <t>Brown Beauty Barber School</t>
  </si>
  <si>
    <t>Brown University</t>
  </si>
  <si>
    <t>Brownson Technical School</t>
  </si>
  <si>
    <t>Brunswick Community College</t>
  </si>
  <si>
    <t>Bryan College of Health Sciences</t>
  </si>
  <si>
    <t>Bryan College-Dayton</t>
  </si>
  <si>
    <t>Bryan University</t>
  </si>
  <si>
    <t>Bryant &amp; Stratton College-Albany</t>
  </si>
  <si>
    <t>Bryant &amp; Stratton College-Buffalo</t>
  </si>
  <si>
    <t>Bryant &amp; Stratton College-Greece</t>
  </si>
  <si>
    <t>Bryant &amp; Stratton College-Online</t>
  </si>
  <si>
    <t>Bryant &amp; Stratton College-Parma</t>
  </si>
  <si>
    <t>Bryant &amp; Stratton College-Syracuse North</t>
  </si>
  <si>
    <t>Bryant &amp; Stratton College-Virginia Beach</t>
  </si>
  <si>
    <t>Bryant &amp; Stratton College-Wauwatosa</t>
  </si>
  <si>
    <t>Bryant University</t>
  </si>
  <si>
    <t>Bryn Athyn College of the New Church</t>
  </si>
  <si>
    <t>Bryn Mawr College</t>
  </si>
  <si>
    <t>Buckeye Hills Career Center</t>
  </si>
  <si>
    <t>Buckeye Joint Vocational School</t>
  </si>
  <si>
    <t>Bucknell University</t>
  </si>
  <si>
    <t>Buckner Barber School</t>
  </si>
  <si>
    <t>Bucks County Community College</t>
  </si>
  <si>
    <t>Bucks County School of Beauty Culture Inc</t>
  </si>
  <si>
    <t>Buena Vista University</t>
  </si>
  <si>
    <t>Bull City Durham Beauty and Barber College</t>
  </si>
  <si>
    <t>B-Unique Beauty and Barber Academy</t>
  </si>
  <si>
    <t>Bunker Hill Community College</t>
  </si>
  <si>
    <t>Burlington County Institute of Technology-Adult Education</t>
  </si>
  <si>
    <t>Burrell College of Osteopathic Medicine</t>
  </si>
  <si>
    <t>Bushnell University</t>
  </si>
  <si>
    <t>Butler Beauty Academy</t>
  </si>
  <si>
    <t>Butler Beauty Academy-Kittanning Beauty Academy</t>
  </si>
  <si>
    <t>Butler Beauty Academy-New Castle Beauty Academy</t>
  </si>
  <si>
    <t>Butler Community College</t>
  </si>
  <si>
    <t>Butler County Community College</t>
  </si>
  <si>
    <t>Butler Technology and Career Development Schools</t>
  </si>
  <si>
    <t>Butler University</t>
  </si>
  <si>
    <t>Butte Academy of Beauty Culture</t>
  </si>
  <si>
    <t>Butte College</t>
  </si>
  <si>
    <t>Butte County Regional Occupational Program</t>
  </si>
  <si>
    <t>Byzantine Catholic Seminary of Saints Cyril and Methodius</t>
  </si>
  <si>
    <t>CAAN Academy of Nursing</t>
  </si>
  <si>
    <t>Cabarrus College of Health Sciences</t>
  </si>
  <si>
    <t>Cabell County Career Technology Center</t>
  </si>
  <si>
    <t>Cabrillo College</t>
  </si>
  <si>
    <t>Cabrini University</t>
  </si>
  <si>
    <t>Caddo Kiowa Technology Center</t>
  </si>
  <si>
    <t>Cadillac Institute of Cosmetology</t>
  </si>
  <si>
    <t>Cairn University-Langhorne</t>
  </si>
  <si>
    <t>CALC Institute of Technology</t>
  </si>
  <si>
    <t>Caldwell Community College and Technical Institute</t>
  </si>
  <si>
    <t>Caldwell University</t>
  </si>
  <si>
    <t>California Aeronautical University</t>
  </si>
  <si>
    <t>California Arts University</t>
  </si>
  <si>
    <t>California Baptist University</t>
  </si>
  <si>
    <t>California Barber and Beauty College</t>
  </si>
  <si>
    <t>California Beauty School</t>
  </si>
  <si>
    <t>California Career College</t>
  </si>
  <si>
    <t>California Career Institute</t>
  </si>
  <si>
    <t>California Career School</t>
  </si>
  <si>
    <t>California Christian College</t>
  </si>
  <si>
    <t>California College of Barbering and Cosmetology</t>
  </si>
  <si>
    <t>California College of Music</t>
  </si>
  <si>
    <t>California College of the Arts</t>
  </si>
  <si>
    <t>California College San Diego</t>
  </si>
  <si>
    <t>California College San Diego-CollegeAmerica-Phoenix</t>
  </si>
  <si>
    <t>California Hair Design Academy</t>
  </si>
  <si>
    <t>California Healing Arts College</t>
  </si>
  <si>
    <t>California Health Sciences University</t>
  </si>
  <si>
    <t>California Indian Nations College</t>
  </si>
  <si>
    <t>California Institute of Advanced Management</t>
  </si>
  <si>
    <t>California Institute of Arts &amp; Technology</t>
  </si>
  <si>
    <t>California Institute of Arts &amp; Technology-National City</t>
  </si>
  <si>
    <t>California Institute of Integral Studies</t>
  </si>
  <si>
    <t>California Institute of Medical Science</t>
  </si>
  <si>
    <t>California Institute of Technology</t>
  </si>
  <si>
    <t>California Institute of the Arts</t>
  </si>
  <si>
    <t>California Intercontinental University</t>
  </si>
  <si>
    <t>California Jazz Conservatory</t>
  </si>
  <si>
    <t>California Lutheran University</t>
  </si>
  <si>
    <t>California Miramar University</t>
  </si>
  <si>
    <t>California Northstate University</t>
  </si>
  <si>
    <t>California Nurses Educational Institute</t>
  </si>
  <si>
    <t>California Polytechnic State University-San Luis Obispo</t>
  </si>
  <si>
    <t>California State Polytechnic University-Humboldt</t>
  </si>
  <si>
    <t>California State Polytechnic University-Pomona</t>
  </si>
  <si>
    <t>California State University Maritime Academy</t>
  </si>
  <si>
    <t>California State University-Bakersfield</t>
  </si>
  <si>
    <t>California State University-Chancellors Office</t>
  </si>
  <si>
    <t>California State University-Channel Islands</t>
  </si>
  <si>
    <t>California State University-Chico</t>
  </si>
  <si>
    <t>California State University-Dominguez Hills</t>
  </si>
  <si>
    <t>California State University-East Bay</t>
  </si>
  <si>
    <t>California State University-Fresno</t>
  </si>
  <si>
    <t>California State University-Fullerton</t>
  </si>
  <si>
    <t>California State University-Long Beach</t>
  </si>
  <si>
    <t>California State University-Los Angeles</t>
  </si>
  <si>
    <t>California State University-Monterey Bay</t>
  </si>
  <si>
    <t>California State University-Northridge</t>
  </si>
  <si>
    <t>California State University-Sacramento</t>
  </si>
  <si>
    <t>California State University-San Bernardino</t>
  </si>
  <si>
    <t>California State University-San Marcos</t>
  </si>
  <si>
    <t>California State University-Stanislaus</t>
  </si>
  <si>
    <t>California Technical Academy</t>
  </si>
  <si>
    <t>California University of Pennsylvania</t>
  </si>
  <si>
    <t>California University of Science and Medicine</t>
  </si>
  <si>
    <t>California Western School of Law</t>
  </si>
  <si>
    <t>Calumet College of Saint Joseph</t>
  </si>
  <si>
    <t>Calvary University</t>
  </si>
  <si>
    <t>Calvin Theological Seminary</t>
  </si>
  <si>
    <t>Calvin University</t>
  </si>
  <si>
    <t>Cambridge College</t>
  </si>
  <si>
    <t>Cambridge College of Healthcare &amp; Technology</t>
  </si>
  <si>
    <t>Cambridge Institute of Allied Health &amp; Technology</t>
  </si>
  <si>
    <t>Cambridge Technical Institute</t>
  </si>
  <si>
    <t>Camden County College</t>
  </si>
  <si>
    <t>Cameo Beauty Academy</t>
  </si>
  <si>
    <t>Cameo College of Essential Beauty</t>
  </si>
  <si>
    <t>Cameron University</t>
  </si>
  <si>
    <t>Campbell University</t>
  </si>
  <si>
    <t>Campbellsville University</t>
  </si>
  <si>
    <t>Canada College</t>
  </si>
  <si>
    <t>Canadian Valley Technology Center</t>
  </si>
  <si>
    <t>Canisius College</t>
  </si>
  <si>
    <t>Cankdeska Cikana Community College</t>
  </si>
  <si>
    <t>Cannella School of Hair Design-Blue Island</t>
  </si>
  <si>
    <t>Cannella School of Hair Design-Chicago</t>
  </si>
  <si>
    <t>Cannella School of Hair Design-Villa Park</t>
  </si>
  <si>
    <t>Canton City Schools Adult Career and Technical Education</t>
  </si>
  <si>
    <t>Cape Cod Community College</t>
  </si>
  <si>
    <t>Cape Coral Technical College</t>
  </si>
  <si>
    <t>Cape Fear Community College</t>
  </si>
  <si>
    <t>Cape Girardeau Career and Technology Center</t>
  </si>
  <si>
    <t>Capella University</t>
  </si>
  <si>
    <t>Capilo School of Hair Design</t>
  </si>
  <si>
    <t>Capital Area School of Practical Nursing</t>
  </si>
  <si>
    <t>Capital Community College</t>
  </si>
  <si>
    <t>Capital University</t>
  </si>
  <si>
    <t>Capitol School of Hairstyling and Esthetics</t>
  </si>
  <si>
    <t>Capitol Technology University</t>
  </si>
  <si>
    <t>Capri Beauty College</t>
  </si>
  <si>
    <t>Capri College-Cedar Rapids</t>
  </si>
  <si>
    <t>Capri College-Davenport</t>
  </si>
  <si>
    <t>Capri College-Dubuque</t>
  </si>
  <si>
    <t>Capri Cosmetology Learning Centers</t>
  </si>
  <si>
    <t>Capri Institute of Hair Design-Brick</t>
  </si>
  <si>
    <t>Capri Institute of Hair Design-Clifton</t>
  </si>
  <si>
    <t>Capri Institute of Hair Design-Kenilworth</t>
  </si>
  <si>
    <t>Capri Institute of Hair Design-Paramus</t>
  </si>
  <si>
    <t>Capstone College</t>
  </si>
  <si>
    <t>Cardiac and Vascular Institute of Ultrasound</t>
  </si>
  <si>
    <t>Cardinal Stritch University</t>
  </si>
  <si>
    <t>Career Academy of Beauty</t>
  </si>
  <si>
    <t>Career Academy of Hair Design</t>
  </si>
  <si>
    <t>Career and Technology Education Centers of Licking County</t>
  </si>
  <si>
    <t>Career Beauty College</t>
  </si>
  <si>
    <t>Career Care Institute</t>
  </si>
  <si>
    <t>Career Center of Southern Illinois</t>
  </si>
  <si>
    <t>Career College of Northern Nevada</t>
  </si>
  <si>
    <t>Career Development Institute Inc</t>
  </si>
  <si>
    <t>Career Networks Institute</t>
  </si>
  <si>
    <t>Career Quest Learning Center-Mt. Pleasant</t>
  </si>
  <si>
    <t>Career Quest Learning Centers-Jackson</t>
  </si>
  <si>
    <t>Career Quest Learning Centers-Lansing</t>
  </si>
  <si>
    <t>Career School of NY</t>
  </si>
  <si>
    <t>Career Technical Institute</t>
  </si>
  <si>
    <t>Career Technology Center of Lackawanna County</t>
  </si>
  <si>
    <t>Careers Institute of America</t>
  </si>
  <si>
    <t>Careers Unlimited</t>
  </si>
  <si>
    <t>Caribbean Aviation Training Institute Inc</t>
  </si>
  <si>
    <t>Caribbean Forensic and Technical College</t>
  </si>
  <si>
    <t>Caribbean University-Bayamon</t>
  </si>
  <si>
    <t>Caribbean University-Carolina</t>
  </si>
  <si>
    <t>Caribbean University-Ponce</t>
  </si>
  <si>
    <t>Caribbean University-Vega Baja</t>
  </si>
  <si>
    <t>Caris College</t>
  </si>
  <si>
    <t>Carl Albert State College</t>
  </si>
  <si>
    <t>Carl Sandburg College</t>
  </si>
  <si>
    <t>Carleton College</t>
  </si>
  <si>
    <t>Carlow University</t>
  </si>
  <si>
    <t>Carlson College of Massage Therapy</t>
  </si>
  <si>
    <t>Carnegie Institute</t>
  </si>
  <si>
    <t>Carnegie Mellon University</t>
  </si>
  <si>
    <t>Carolina Christian College</t>
  </si>
  <si>
    <t>Carolina College of Biblical Studies</t>
  </si>
  <si>
    <t>Carolina College of Hair Design</t>
  </si>
  <si>
    <t>Carolina School of Broadcasting</t>
  </si>
  <si>
    <t>Carolina University</t>
  </si>
  <si>
    <t>Carolinas College of Health Sciences</t>
  </si>
  <si>
    <t>Carrington College-Administrative Office</t>
  </si>
  <si>
    <t>Carrington College-Albuquerque</t>
  </si>
  <si>
    <t>Carrington College-Boise</t>
  </si>
  <si>
    <t>Carrington College-Citrus Heights</t>
  </si>
  <si>
    <t>Carrington College-Las Vegas</t>
  </si>
  <si>
    <t>Carrington College-Mesa</t>
  </si>
  <si>
    <t>Carrington College-Mesquite</t>
  </si>
  <si>
    <t>Carrington College-Ontario</t>
  </si>
  <si>
    <t>Carrington College-Phoenix North</t>
  </si>
  <si>
    <t>Carrington College-Pleasant Hill Campus</t>
  </si>
  <si>
    <t>Carrington College-Portland</t>
  </si>
  <si>
    <t>Carrington College-Reno</t>
  </si>
  <si>
    <t>Carrington College-Sacramento</t>
  </si>
  <si>
    <t>Carrington College-San Jose</t>
  </si>
  <si>
    <t>Carrington College-San Leandro Campus</t>
  </si>
  <si>
    <t>Carrington College-Spokane</t>
  </si>
  <si>
    <t>Carrington College-Stockton</t>
  </si>
  <si>
    <t>Carrington College-Tucson</t>
  </si>
  <si>
    <t>Carroll College</t>
  </si>
  <si>
    <t>Carroll Community College</t>
  </si>
  <si>
    <t>Carroll University</t>
  </si>
  <si>
    <t>Carson-Newman University</t>
  </si>
  <si>
    <t>Carsten Institute of Cosmetology</t>
  </si>
  <si>
    <t>Carteret Community College</t>
  </si>
  <si>
    <t>Carthage College</t>
  </si>
  <si>
    <t>Carthage R9 School District-Carthage Technical Center</t>
  </si>
  <si>
    <t>Carver Career Center</t>
  </si>
  <si>
    <t>Casa Loma College-Van Nuys</t>
  </si>
  <si>
    <t>Casal Aveda Institute</t>
  </si>
  <si>
    <t>Casal Institute of Nevada</t>
  </si>
  <si>
    <t>Cascadia College</t>
  </si>
  <si>
    <t>Case Western Reserve University</t>
  </si>
  <si>
    <t>Casper College</t>
  </si>
  <si>
    <t>Cass Career Center</t>
  </si>
  <si>
    <t>Castleton University</t>
  </si>
  <si>
    <t>Catawba College</t>
  </si>
  <si>
    <t>Catawba Valley Community College</t>
  </si>
  <si>
    <t>Catherine Hinds Institute of Esthetics</t>
  </si>
  <si>
    <t>Catholic Distance University</t>
  </si>
  <si>
    <t>Catholic Theological Union at Chicago</t>
  </si>
  <si>
    <t>Cattaraugus Allegany BOCES-Practical Nursing Program</t>
  </si>
  <si>
    <t>Cayce/Reilly School of Massage</t>
  </si>
  <si>
    <t>Cayuga County Community College</t>
  </si>
  <si>
    <t>Cayuga Onondaga BOCES-Practical Nursing Program</t>
  </si>
  <si>
    <t>Cazenovia College</t>
  </si>
  <si>
    <t>CBD College</t>
  </si>
  <si>
    <t>CBT Technology Institute-Cutler Bay</t>
  </si>
  <si>
    <t>CBT Technology Institute-Hialeah</t>
  </si>
  <si>
    <t>CBT Technology Institute-Main Campus</t>
  </si>
  <si>
    <t>CCI Training Center-Arlington</t>
  </si>
  <si>
    <t>CDA Technical Institute</t>
  </si>
  <si>
    <t>CDE Career Institute</t>
  </si>
  <si>
    <t>Cecil College</t>
  </si>
  <si>
    <t>Cedar Crest College</t>
  </si>
  <si>
    <t>Cedars Sinai Medical Center</t>
  </si>
  <si>
    <t>Cedarville University</t>
  </si>
  <si>
    <t>Celebrity Barber School</t>
  </si>
  <si>
    <t>Celebrity School of Beauty</t>
  </si>
  <si>
    <t>Celebrity Stylist Beauty School</t>
  </si>
  <si>
    <t>CEM College-Bayamon</t>
  </si>
  <si>
    <t>CEM College-Humacao</t>
  </si>
  <si>
    <t>CEM College-Mayaguez</t>
  </si>
  <si>
    <t>CEM College-San Juan</t>
  </si>
  <si>
    <t>Centenary College of Louisiana</t>
  </si>
  <si>
    <t>Centenary University</t>
  </si>
  <si>
    <t>Center for Advanced Legal Studies</t>
  </si>
  <si>
    <t>Center for Advanced Studies On Puerto Rico and the Caribbean</t>
  </si>
  <si>
    <t>Center for Allied Health Education</t>
  </si>
  <si>
    <t>Center for Instruction, Technology &amp; Innovation</t>
  </si>
  <si>
    <t>Center for Massage</t>
  </si>
  <si>
    <t>Center for Neurosomatic Studies</t>
  </si>
  <si>
    <t>Center for the Healing Arts</t>
  </si>
  <si>
    <t>Center for Ultrasound Research &amp; Education</t>
  </si>
  <si>
    <t>CenterPoint Massage &amp; Shiatsu Therapy School &amp; Clinic</t>
  </si>
  <si>
    <t>Centra College</t>
  </si>
  <si>
    <t>Central Alabama Community College</t>
  </si>
  <si>
    <t>Central Arizona College</t>
  </si>
  <si>
    <t>Central Baptist College</t>
  </si>
  <si>
    <t>Central California School of Continuing Education</t>
  </si>
  <si>
    <t>Central Career Institute LLC</t>
  </si>
  <si>
    <t>Central Carolina Community College</t>
  </si>
  <si>
    <t>Central Carolina Technical College</t>
  </si>
  <si>
    <t>Central Christian College of Kansas</t>
  </si>
  <si>
    <t>Central Christian College of the Bible</t>
  </si>
  <si>
    <t>Central Coast College</t>
  </si>
  <si>
    <t>Central College</t>
  </si>
  <si>
    <t>Central College of Cosmetology</t>
  </si>
  <si>
    <t>Central Community College</t>
  </si>
  <si>
    <t>Central Connecticut State University</t>
  </si>
  <si>
    <t>Central Georgia Technical College</t>
  </si>
  <si>
    <t>Central Lakes College-Brainerd</t>
  </si>
  <si>
    <t>Central Louisiana Technical Community College</t>
  </si>
  <si>
    <t>Central Maine Community College</t>
  </si>
  <si>
    <t>Central Methodist University-College of Graduate and Extended Studies</t>
  </si>
  <si>
    <t>Central Methodist University-College of Liberal Arts and Sciences</t>
  </si>
  <si>
    <t>Central Michigan University</t>
  </si>
  <si>
    <t>Central New Mexico Community College</t>
  </si>
  <si>
    <t>Central Ohio Technical College</t>
  </si>
  <si>
    <t>Central Oklahoma College</t>
  </si>
  <si>
    <t>Central Oregon Community College</t>
  </si>
  <si>
    <t>Central Penn College</t>
  </si>
  <si>
    <t>Central Pennsylvania Diesel Institute</t>
  </si>
  <si>
    <t>Central Pennsylvania Institute of Science and Technology</t>
  </si>
  <si>
    <t>Central Piedmont Community College</t>
  </si>
  <si>
    <t>Central School of Practical Nursing</t>
  </si>
  <si>
    <t>Central State University</t>
  </si>
  <si>
    <t>Central Susquehanna Intermediate Unit LPN Career</t>
  </si>
  <si>
    <t>Central Technology Center</t>
  </si>
  <si>
    <t>Central Texas Beauty College-Round Rock</t>
  </si>
  <si>
    <t>Central Texas Beauty College-Temple</t>
  </si>
  <si>
    <t>Central Texas College</t>
  </si>
  <si>
    <t>Central Virginia Community College</t>
  </si>
  <si>
    <t>Central Washington University</t>
  </si>
  <si>
    <t>Central Wyoming College</t>
  </si>
  <si>
    <t>Central Yeshiva Beth Joseph</t>
  </si>
  <si>
    <t>Central Yeshiva Tomchei Tmimim Lubavitz</t>
  </si>
  <si>
    <t>Centralia Beauty College</t>
  </si>
  <si>
    <t>Centralia College</t>
  </si>
  <si>
    <t>Centre College</t>
  </si>
  <si>
    <t>Centura College-Chesapeake</t>
  </si>
  <si>
    <t>Centura College-Newport News</t>
  </si>
  <si>
    <t>Centura College-Norfolk</t>
  </si>
  <si>
    <t>Centura College-Richmond Main</t>
  </si>
  <si>
    <t>Centura College-Virginia Beach</t>
  </si>
  <si>
    <t>Century College</t>
  </si>
  <si>
    <t>Cerritos College</t>
  </si>
  <si>
    <t>Cerro Coso Community College</t>
  </si>
  <si>
    <t>CES College</t>
  </si>
  <si>
    <t>CET-Alexandria</t>
  </si>
  <si>
    <t>CET-Coachella</t>
  </si>
  <si>
    <t>CET-Colton</t>
  </si>
  <si>
    <t>CET-El Centro</t>
  </si>
  <si>
    <t>CET-El Paso</t>
  </si>
  <si>
    <t>CET-Oxnard</t>
  </si>
  <si>
    <t>CET-Salinas</t>
  </si>
  <si>
    <t>CET-San Diego</t>
  </si>
  <si>
    <t>CET-San Jose</t>
  </si>
  <si>
    <t>CET-Santa Maria</t>
  </si>
  <si>
    <t>CET-Soledad</t>
  </si>
  <si>
    <t>CET-Watsonville</t>
  </si>
  <si>
    <t>Chabot College</t>
  </si>
  <si>
    <t>Chadron State College</t>
  </si>
  <si>
    <t>Chaffey College</t>
  </si>
  <si>
    <t>Chamberlain University-Administrative Office</t>
  </si>
  <si>
    <t>Chamberlain University-Arizona</t>
  </si>
  <si>
    <t>Chamberlain University-California</t>
  </si>
  <si>
    <t>Chamberlain University-Florida</t>
  </si>
  <si>
    <t>Chamberlain University-Georgia</t>
  </si>
  <si>
    <t>Chamberlain University-Illinois</t>
  </si>
  <si>
    <t>Chamberlain University-Indiana</t>
  </si>
  <si>
    <t>Chamberlain University-Louisiana</t>
  </si>
  <si>
    <t>Chamberlain University-Michigan</t>
  </si>
  <si>
    <t>Chamberlain University-Missouri</t>
  </si>
  <si>
    <t>Chamberlain University-Nevada</t>
  </si>
  <si>
    <t>Chamberlain University-New Jersey</t>
  </si>
  <si>
    <t>Chamberlain University-North Carolina</t>
  </si>
  <si>
    <t>Chamberlain University-Ohio</t>
  </si>
  <si>
    <t>Chamberlain University-Texas</t>
  </si>
  <si>
    <t>Chamberlain University-Virginia</t>
  </si>
  <si>
    <t>Chaminade University of Honolulu</t>
  </si>
  <si>
    <t>Champion Beauty College</t>
  </si>
  <si>
    <t>Champion Christian College</t>
  </si>
  <si>
    <t>Champlain College</t>
  </si>
  <si>
    <t>Champ's Barber School</t>
  </si>
  <si>
    <t>Chandler-Gilbert Community College</t>
  </si>
  <si>
    <t>Chapman University</t>
  </si>
  <si>
    <t>Charles A Jones Career and Education Center</t>
  </si>
  <si>
    <t>Charles and Sues School of Hair Design</t>
  </si>
  <si>
    <t>Charles H McCann Technical School</t>
  </si>
  <si>
    <t>Charles of Italy Beauty College</t>
  </si>
  <si>
    <t>Charles R Drew University of Medicine and Science</t>
  </si>
  <si>
    <t>Charles Stuart School of Diamond Setting</t>
  </si>
  <si>
    <t>Charleston Cosmetology Institute</t>
  </si>
  <si>
    <t>Charleston School of Beauty Culture</t>
  </si>
  <si>
    <t>Charleston School of Law</t>
  </si>
  <si>
    <t>Charleston Southern University</t>
  </si>
  <si>
    <t>Charlie's Guard-Detective Bureau and Academy Inc</t>
  </si>
  <si>
    <t>Charlotte Christian College and Theological Seminary</t>
  </si>
  <si>
    <t>Charlotte Technical College</t>
  </si>
  <si>
    <t>Charter College</t>
  </si>
  <si>
    <t>Charter Oak State College</t>
  </si>
  <si>
    <t>Charzanne Beauty College</t>
  </si>
  <si>
    <t>Chatfield College</t>
  </si>
  <si>
    <t>Chatham University</t>
  </si>
  <si>
    <t>Chattahoochee Technical College</t>
  </si>
  <si>
    <t>Chattahoochee Valley Community College</t>
  </si>
  <si>
    <t>Chattanooga College Medical Dental and Technical Careers</t>
  </si>
  <si>
    <t>Chattanooga State Community College</t>
  </si>
  <si>
    <t>Cheeks Beauty Academy</t>
  </si>
  <si>
    <t>Chemeketa Community College</t>
  </si>
  <si>
    <t>Chesapeake College</t>
  </si>
  <si>
    <t>Chester Career College</t>
  </si>
  <si>
    <t>Chester County Intermediate Unit</t>
  </si>
  <si>
    <t>Chestnut Hill College</t>
  </si>
  <si>
    <t>Cheyney University of Pennsylvania</t>
  </si>
  <si>
    <t>CHI Health School of Radiologic Technology</t>
  </si>
  <si>
    <t>Chicago Professional Center</t>
  </si>
  <si>
    <t>Chicago School of Professional Psychology at Dallas</t>
  </si>
  <si>
    <t>Chicago School of Professional Psychology-College of Nursing</t>
  </si>
  <si>
    <t>Chicago State University</t>
  </si>
  <si>
    <t>Chicago Theological Seminary</t>
  </si>
  <si>
    <t>Chief Dull Knife College</t>
  </si>
  <si>
    <t>Chipola College</t>
  </si>
  <si>
    <t>Chippewa Valley Technical College</t>
  </si>
  <si>
    <t>Chisholm Trail Technology Center</t>
  </si>
  <si>
    <t>Choffin Career  and Technical Center</t>
  </si>
  <si>
    <t>Chowan University</t>
  </si>
  <si>
    <t>Chris Beauty College</t>
  </si>
  <si>
    <t>Christ Mission College</t>
  </si>
  <si>
    <t>Christ the King Seminary</t>
  </si>
  <si>
    <t>Christian Brothers University</t>
  </si>
  <si>
    <t>Christian Culinary Academy</t>
  </si>
  <si>
    <t>Christian Theological Seminary</t>
  </si>
  <si>
    <t>Christina and Company Education Center</t>
  </si>
  <si>
    <t>Christine Valmy International School for Esthetics, Skin Care &amp; Makeup</t>
  </si>
  <si>
    <t>Christine Valmy International School of Esthetics &amp; Cosmetology</t>
  </si>
  <si>
    <t>Christopher Newport University</t>
  </si>
  <si>
    <t>Church Divinity School of the Pacific</t>
  </si>
  <si>
    <t>Cincinnati College of Mortuary Science</t>
  </si>
  <si>
    <t>Cincinnati School of Barbering &amp; Hair Design</t>
  </si>
  <si>
    <t>Cincinnati State Technical and Community College</t>
  </si>
  <si>
    <t>Cinta Aveda Institute</t>
  </si>
  <si>
    <t>Circle in the Square Theatre School</t>
  </si>
  <si>
    <t>Cisco College</t>
  </si>
  <si>
    <t>Citadel Military College of South Carolina</t>
  </si>
  <si>
    <t>Citizens School of Nursing</t>
  </si>
  <si>
    <t>Citrus College</t>
  </si>
  <si>
    <t>Citrus Heights Beauty College</t>
  </si>
  <si>
    <t>City College of San Francisco</t>
  </si>
  <si>
    <t>City College-Altamonte Springs</t>
  </si>
  <si>
    <t>City College-Fort Lauderdale</t>
  </si>
  <si>
    <t>City College-Gainesville</t>
  </si>
  <si>
    <t>City College-Hollywood</t>
  </si>
  <si>
    <t>City College-Miami</t>
  </si>
  <si>
    <t>City Colleges of Chicago-District Office</t>
  </si>
  <si>
    <t>City Colleges of Chicago-Harold Washington College</t>
  </si>
  <si>
    <t>City Colleges of Chicago-Harry S Truman College</t>
  </si>
  <si>
    <t>City Colleges of Chicago-Kennedy-King College</t>
  </si>
  <si>
    <t>City Colleges of Chicago-Malcolm X College</t>
  </si>
  <si>
    <t>City Colleges of Chicago-Olive-Harvey College</t>
  </si>
  <si>
    <t>City Colleges of Chicago-Richard J Daley College</t>
  </si>
  <si>
    <t>City Colleges of Chicago-Wilbur Wright College</t>
  </si>
  <si>
    <t>City Pointe Beauty Academy</t>
  </si>
  <si>
    <t>City University of Seattle</t>
  </si>
  <si>
    <t>City Vision University</t>
  </si>
  <si>
    <t>Clackamas Community College</t>
  </si>
  <si>
    <t>Claflin University</t>
  </si>
  <si>
    <t>Claremont Graduate University</t>
  </si>
  <si>
    <t>Claremont Lincoln University</t>
  </si>
  <si>
    <t>Claremont McKenna College</t>
  </si>
  <si>
    <t>Claremont School of Theology</t>
  </si>
  <si>
    <t>Clarendon College</t>
  </si>
  <si>
    <t>Clarion University of Pennsylvania</t>
  </si>
  <si>
    <t>Clark Atlanta University</t>
  </si>
  <si>
    <t>Clark College</t>
  </si>
  <si>
    <t>Clark State College</t>
  </si>
  <si>
    <t>Clark University</t>
  </si>
  <si>
    <t>Clarke University</t>
  </si>
  <si>
    <t>Clarks Summit University</t>
  </si>
  <si>
    <t>Clarksburg Beauty Academy and School of Massage Therapy</t>
  </si>
  <si>
    <t>Clarkson College</t>
  </si>
  <si>
    <t>Clarkson University</t>
  </si>
  <si>
    <t>Clary Sage College</t>
  </si>
  <si>
    <t>Clatsop Community College</t>
  </si>
  <si>
    <t>Clayton  State University</t>
  </si>
  <si>
    <t>Clear Creek Baptist Bible College</t>
  </si>
  <si>
    <t>Clearfield County Career and Technology Center</t>
  </si>
  <si>
    <t>Cleary University</t>
  </si>
  <si>
    <t>Clemson University</t>
  </si>
  <si>
    <t>Cleveland Clinic Health System-School of Diagnostic Imaging</t>
  </si>
  <si>
    <t>Cleveland Community College</t>
  </si>
  <si>
    <t>Cleveland Institute of Art</t>
  </si>
  <si>
    <t>Cleveland Institute of Music</t>
  </si>
  <si>
    <t>Cleveland State Community College</t>
  </si>
  <si>
    <t>Cleveland State University</t>
  </si>
  <si>
    <t>Cleveland University-Kansas City</t>
  </si>
  <si>
    <t>Clinton College</t>
  </si>
  <si>
    <t>Clinton Community College</t>
  </si>
  <si>
    <t>Clinton Essex Warren Washington BOCES</t>
  </si>
  <si>
    <t>Clinton Technical School</t>
  </si>
  <si>
    <t>Cloud County Community College</t>
  </si>
  <si>
    <t>Clover Park Technical College</t>
  </si>
  <si>
    <t>Clovis Adult Education</t>
  </si>
  <si>
    <t>Clovis Community College</t>
  </si>
  <si>
    <t>Cloyd's Barber School 2 Inc</t>
  </si>
  <si>
    <t>Cloyd's Beauty School 1 Inc</t>
  </si>
  <si>
    <t>Cloyd's Beauty School 3 Inc</t>
  </si>
  <si>
    <t>Coachella Valley Beauty College</t>
  </si>
  <si>
    <t>Coachella Valley Beauty College-Hemet</t>
  </si>
  <si>
    <t>Coahoma Community College</t>
  </si>
  <si>
    <t>Coast Community College District Office</t>
  </si>
  <si>
    <t>Coastal Alabama Community College</t>
  </si>
  <si>
    <t>Coastal Bend College</t>
  </si>
  <si>
    <t>Coastal Carolina Community College</t>
  </si>
  <si>
    <t>Coastal Carolina University</t>
  </si>
  <si>
    <t>Coastal Pines Technical College</t>
  </si>
  <si>
    <t>Coastline Beauty College</t>
  </si>
  <si>
    <t>Coastline Community College</t>
  </si>
  <si>
    <t>Coba Academy</t>
  </si>
  <si>
    <t>Cochise County Community College District</t>
  </si>
  <si>
    <t>Cochran School of Nursing</t>
  </si>
  <si>
    <t>Coconino Community College</t>
  </si>
  <si>
    <t>Coe College</t>
  </si>
  <si>
    <t>Coffeyville Community College</t>
  </si>
  <si>
    <t>Coker University</t>
  </si>
  <si>
    <t>Colby College</t>
  </si>
  <si>
    <t>Colby Community College</t>
  </si>
  <si>
    <t>Colby-Sawyer College</t>
  </si>
  <si>
    <t>Colegio de CinematografÃ­a Artes y Television</t>
  </si>
  <si>
    <t>Colegio Educativo Tecnologico Industrial Inc</t>
  </si>
  <si>
    <t>Colegio Mayor de Tecnologia Inc</t>
  </si>
  <si>
    <t>Colegio Tecnico de Electricidad Galloza</t>
  </si>
  <si>
    <t>Colegio Universitario de San Juan</t>
  </si>
  <si>
    <t>Colgate Rochester Crozer Divinity School</t>
  </si>
  <si>
    <t>Colgate University</t>
  </si>
  <si>
    <t>Collectiv Academy</t>
  </si>
  <si>
    <t>College for Creative Studies</t>
  </si>
  <si>
    <t>College of Alameda</t>
  </si>
  <si>
    <t>College of Biblical Studies-Houston</t>
  </si>
  <si>
    <t>College of Central Florida</t>
  </si>
  <si>
    <t>College of Charleston</t>
  </si>
  <si>
    <t>College of Coastal Georgia</t>
  </si>
  <si>
    <t>College of Cosmetology</t>
  </si>
  <si>
    <t>College of Court Reporting Inc</t>
  </si>
  <si>
    <t>College of DuPage</t>
  </si>
  <si>
    <t>College of Eastern Idaho</t>
  </si>
  <si>
    <t>College of Hair Design Careers</t>
  </si>
  <si>
    <t>College of Hair Design-Downtown</t>
  </si>
  <si>
    <t>College of Hair Design-East Campus</t>
  </si>
  <si>
    <t>College of Health Care Professions</t>
  </si>
  <si>
    <t>College of Lake County</t>
  </si>
  <si>
    <t>College of Marin</t>
  </si>
  <si>
    <t>College of Massage Therapy</t>
  </si>
  <si>
    <t>College of Menominee Nation</t>
  </si>
  <si>
    <t>College of Micronesia-FSM</t>
  </si>
  <si>
    <t>College of Mount Saint Vincent</t>
  </si>
  <si>
    <t>College of Our Lady of the Elms</t>
  </si>
  <si>
    <t>College of Saint Benedict</t>
  </si>
  <si>
    <t>College of Saint Mary</t>
  </si>
  <si>
    <t>College of San Mateo</t>
  </si>
  <si>
    <t>College of Southern Idaho</t>
  </si>
  <si>
    <t>College of Southern Maryland</t>
  </si>
  <si>
    <t>College of Southern Nevada</t>
  </si>
  <si>
    <t>College of Staten Island CUNY</t>
  </si>
  <si>
    <t>College of the Albemarle</t>
  </si>
  <si>
    <t>College of the Atlantic</t>
  </si>
  <si>
    <t>College of the Canyons</t>
  </si>
  <si>
    <t>College of the Desert</t>
  </si>
  <si>
    <t>College of the Holy Cross</t>
  </si>
  <si>
    <t>College of the Mainland</t>
  </si>
  <si>
    <t>College of the Marshall Islands</t>
  </si>
  <si>
    <t>College of the Muscogee Nation</t>
  </si>
  <si>
    <t>College of the Ozarks</t>
  </si>
  <si>
    <t>College of the Redwoods</t>
  </si>
  <si>
    <t>College of the Sequoias</t>
  </si>
  <si>
    <t>College of the Siskiyous</t>
  </si>
  <si>
    <t>College of Western Idaho</t>
  </si>
  <si>
    <t>College of Wilmington</t>
  </si>
  <si>
    <t>College Unbound</t>
  </si>
  <si>
    <t>Collin County Community College District</t>
  </si>
  <si>
    <t>Colorado Academy of Veterinary Technology</t>
  </si>
  <si>
    <t>Colorado Christian University</t>
  </si>
  <si>
    <t>Colorado College</t>
  </si>
  <si>
    <t>Colorado Media School</t>
  </si>
  <si>
    <t>Colorado Mesa University</t>
  </si>
  <si>
    <t>Colorado Mountain College</t>
  </si>
  <si>
    <t>Colorado Northwestern Community College</t>
  </si>
  <si>
    <t>Colorado School of Healing Arts</t>
  </si>
  <si>
    <t>Colorado School of Mines</t>
  </si>
  <si>
    <t>Colorado School of Trades</t>
  </si>
  <si>
    <t>Colorado School of Traditional Chinese Medicine</t>
  </si>
  <si>
    <t>Colorado State University Pueblo</t>
  </si>
  <si>
    <t>Colorado State University-Fort Collins</t>
  </si>
  <si>
    <t>Colorado State University-Global Campus</t>
  </si>
  <si>
    <t>Colorado State University-System Office</t>
  </si>
  <si>
    <t>Colorado Technical University-Colorado Springs</t>
  </si>
  <si>
    <t>Columbia Basin College</t>
  </si>
  <si>
    <t>Columbia Central University-Caguas</t>
  </si>
  <si>
    <t>Columbia Central University-Yauco</t>
  </si>
  <si>
    <t>Columbia College</t>
  </si>
  <si>
    <t>Columbia College Chicago</t>
  </si>
  <si>
    <t>Columbia College Hollywood</t>
  </si>
  <si>
    <t>Columbia College of Nursing</t>
  </si>
  <si>
    <t>Columbia Gorge Community College</t>
  </si>
  <si>
    <t>Columbia Institute</t>
  </si>
  <si>
    <t>Columbia International University</t>
  </si>
  <si>
    <t>Columbia Southern University</t>
  </si>
  <si>
    <t>Columbia State Community College</t>
  </si>
  <si>
    <t>Columbia Theological Seminary</t>
  </si>
  <si>
    <t>Columbia University in the City of New York</t>
  </si>
  <si>
    <t>Columbia-Greene Community College</t>
  </si>
  <si>
    <t>Columbiana County Career and Technical Center</t>
  </si>
  <si>
    <t>Columbus College of Art and Design</t>
  </si>
  <si>
    <t>Columbus State Community College</t>
  </si>
  <si>
    <t>Columbus State University</t>
  </si>
  <si>
    <t>Columbus Technical College</t>
  </si>
  <si>
    <t>Commercial Divers International</t>
  </si>
  <si>
    <t>Commonwealth Institute of Funeral Service</t>
  </si>
  <si>
    <t>Commonwealth Technical Institute</t>
  </si>
  <si>
    <t>Community Care College</t>
  </si>
  <si>
    <t>Community Christian College</t>
  </si>
  <si>
    <t>Community College of Allegheny County</t>
  </si>
  <si>
    <t>Community College of Aurora</t>
  </si>
  <si>
    <t>Community College of Baltimore County</t>
  </si>
  <si>
    <t>Community College of Beaver County</t>
  </si>
  <si>
    <t>Community College of Denver</t>
  </si>
  <si>
    <t>Community College of Philadelphia</t>
  </si>
  <si>
    <t>Community College of Rhode Island</t>
  </si>
  <si>
    <t>Community College of Vermont</t>
  </si>
  <si>
    <t>Community Technology Learning Center of Portage</t>
  </si>
  <si>
    <t>Compass Career College</t>
  </si>
  <si>
    <t>Compass College of Film and Media</t>
  </si>
  <si>
    <t>Compton College</t>
  </si>
  <si>
    <t>Compu-Med Vocational Careers Corp</t>
  </si>
  <si>
    <t>Conception Seminary College</t>
  </si>
  <si>
    <t>Concord University</t>
  </si>
  <si>
    <t>Concorde Career College-Aurora</t>
  </si>
  <si>
    <t>Concorde Career College-Dallas</t>
  </si>
  <si>
    <t>Concorde Career College-Garden Grove</t>
  </si>
  <si>
    <t>Concorde Career College-Grand Prairie</t>
  </si>
  <si>
    <t>Concorde Career College-Kansas City</t>
  </si>
  <si>
    <t>Concorde Career College-Memphis</t>
  </si>
  <si>
    <t>Concorde Career College-North Hollywood</t>
  </si>
  <si>
    <t>Concorde Career College-Portland</t>
  </si>
  <si>
    <t>Concorde Career College-San Antonio</t>
  </si>
  <si>
    <t>Concorde Career College-San Bernardino</t>
  </si>
  <si>
    <t>Concorde Career College-San Diego</t>
  </si>
  <si>
    <t>Concorde Career College-Southaven</t>
  </si>
  <si>
    <t>Concorde Career Institute-Jacksonville</t>
  </si>
  <si>
    <t>Concorde Career Institute-Miramar</t>
  </si>
  <si>
    <t>Concorde Career Institute-Orlando</t>
  </si>
  <si>
    <t>Concorde Career Institute-Tampa</t>
  </si>
  <si>
    <t>Concordia College</t>
  </si>
  <si>
    <t>Concordia College at Moorhead</t>
  </si>
  <si>
    <t>Concordia Seminary</t>
  </si>
  <si>
    <t>Concordia Theological Seminary</t>
  </si>
  <si>
    <t>Concordia University Ann Arbor</t>
  </si>
  <si>
    <t>Concordia University Texas</t>
  </si>
  <si>
    <t>Concordia University-Chicago</t>
  </si>
  <si>
    <t>Concordia University-Irvine</t>
  </si>
  <si>
    <t>Concordia University-Nebraska</t>
  </si>
  <si>
    <t>Concordia University-Saint Paul</t>
  </si>
  <si>
    <t>Concordia University-Wisconsin</t>
  </si>
  <si>
    <t>Congregation Talmidei Mesivta Tiferes Shmiel Aleksander</t>
  </si>
  <si>
    <t>Connecticut College</t>
  </si>
  <si>
    <t>Connors State College</t>
  </si>
  <si>
    <t>Conservatory of Music of Puerto Rico</t>
  </si>
  <si>
    <t>Conservatory of Recording Arts and Sciences</t>
  </si>
  <si>
    <t>Construction Training Center</t>
  </si>
  <si>
    <t>Continental Academie of Hair Design-Hudson</t>
  </si>
  <si>
    <t>Continental School of Beauty Culture-Mattydale</t>
  </si>
  <si>
    <t>Continental School of Beauty Culture-Olean</t>
  </si>
  <si>
    <t>Continental School of Beauty Culture-Rochester</t>
  </si>
  <si>
    <t>Continental School of Beauty Culture-West Seneca</t>
  </si>
  <si>
    <t>Contra Costa College</t>
  </si>
  <si>
    <t>Contra Costa Community College District Office</t>
  </si>
  <si>
    <t>Contra Costa Medical Career College</t>
  </si>
  <si>
    <t>Converse University</t>
  </si>
  <si>
    <t>Conway School of Landscape Design</t>
  </si>
  <si>
    <t>Cooper Union for the Advancement of Science and Art</t>
  </si>
  <si>
    <t>Copiah-Lincoln Community College</t>
  </si>
  <si>
    <t>Copper Mountain Community College</t>
  </si>
  <si>
    <t>Coppin State University</t>
  </si>
  <si>
    <t>Corban University</t>
  </si>
  <si>
    <t>Corinth Academy of Cosmetology</t>
  </si>
  <si>
    <t>Cornell College</t>
  </si>
  <si>
    <t>Cornell University</t>
  </si>
  <si>
    <t>Cornerstone University</t>
  </si>
  <si>
    <t>Cornish College of the Arts</t>
  </si>
  <si>
    <t>Cortiva Institute</t>
  </si>
  <si>
    <t>Cortiva Institute-Arlington</t>
  </si>
  <si>
    <t>Cosmetology &amp; Spa Academy</t>
  </si>
  <si>
    <t>Cosmetology Academy of Texarkana</t>
  </si>
  <si>
    <t>Cosmetology Careers Unlimited College of Hair Skin and Nails</t>
  </si>
  <si>
    <t>Cosmetology Concepts Niles</t>
  </si>
  <si>
    <t>Cosmetology School of Arts &amp; Sciences</t>
  </si>
  <si>
    <t>Cosmetology Training Center</t>
  </si>
  <si>
    <t>Cosmo Beauty Academy</t>
  </si>
  <si>
    <t>Cossatot Community College of the University of Arkansas</t>
  </si>
  <si>
    <t>Cosumnes River College</t>
  </si>
  <si>
    <t>Cottey College</t>
  </si>
  <si>
    <t>County College of Morris</t>
  </si>
  <si>
    <t>Covenant College</t>
  </si>
  <si>
    <t>Covenant School of Nursing and Allied Health</t>
  </si>
  <si>
    <t>Covenant Theological Seminary</t>
  </si>
  <si>
    <t>Cowley County Community College</t>
  </si>
  <si>
    <t>Cox College</t>
  </si>
  <si>
    <t>Coyne College</t>
  </si>
  <si>
    <t>Cozmo Beauty School</t>
  </si>
  <si>
    <t>Crafton Hills College</t>
  </si>
  <si>
    <t>Cranbrook Academy of Art</t>
  </si>
  <si>
    <t>Crave Beauty Academy</t>
  </si>
  <si>
    <t>Craven Community College</t>
  </si>
  <si>
    <t>Crawford County Career and Technical Center Practical Nursing Program</t>
  </si>
  <si>
    <t>Creative Hair School of Cosmetology</t>
  </si>
  <si>
    <t>Creative Images Institute of Cosmetology-North Dayton</t>
  </si>
  <si>
    <t>Creative Images Institute of Cosmetology-South Dayton</t>
  </si>
  <si>
    <t>Creative Touch Cosmetology School</t>
  </si>
  <si>
    <t>Creighton University</t>
  </si>
  <si>
    <t>Crescent City Bartending School</t>
  </si>
  <si>
    <t>Crevier's Academy of Cosmetology Arts</t>
  </si>
  <si>
    <t>Criswell College</t>
  </si>
  <si>
    <t>Crowder College</t>
  </si>
  <si>
    <t>Crowley's Ridge College</t>
  </si>
  <si>
    <t>Crown College</t>
  </si>
  <si>
    <t>Crown Cutz Academy Bristol</t>
  </si>
  <si>
    <t>CRU Institute of Cosmetology and Barbering</t>
  </si>
  <si>
    <t>CT Aero Tech School</t>
  </si>
  <si>
    <t>CTK Healthcare &amp; Career Institute</t>
  </si>
  <si>
    <t>Cuesta College</t>
  </si>
  <si>
    <t>Culinary Institute Inc</t>
  </si>
  <si>
    <t>Culinary Institute of America</t>
  </si>
  <si>
    <t>Culinary Tech Center</t>
  </si>
  <si>
    <t>Culpeper Cosmetology Training Center</t>
  </si>
  <si>
    <t>Culver-Stockton College</t>
  </si>
  <si>
    <t>Cumberland University</t>
  </si>
  <si>
    <t>CUNY Bernard M Baruch College</t>
  </si>
  <si>
    <t>CUNY Borough of Manhattan Community College</t>
  </si>
  <si>
    <t>CUNY Bronx Community College</t>
  </si>
  <si>
    <t>CUNY Brooklyn College</t>
  </si>
  <si>
    <t>CUNY City College</t>
  </si>
  <si>
    <t>CUNY Graduate School and University Center</t>
  </si>
  <si>
    <t>CUNY Hostos Community College</t>
  </si>
  <si>
    <t>CUNY Hunter College</t>
  </si>
  <si>
    <t>CUNY John Jay College of Criminal Justice</t>
  </si>
  <si>
    <t>CUNY Kingsborough Community College</t>
  </si>
  <si>
    <t>CUNY LaGuardia Community College</t>
  </si>
  <si>
    <t>CUNY Lehman College</t>
  </si>
  <si>
    <t>CUNY Medgar Evers College</t>
  </si>
  <si>
    <t>CUNY New York City College of Technology</t>
  </si>
  <si>
    <t>CUNY Queens College</t>
  </si>
  <si>
    <t>CUNY Queensborough Community College</t>
  </si>
  <si>
    <t>CUNY School of Law</t>
  </si>
  <si>
    <t>CUNY Stella and Charles Guttman Community College</t>
  </si>
  <si>
    <t>CUNY System Office</t>
  </si>
  <si>
    <t>CUNY York College</t>
  </si>
  <si>
    <t>Curry College</t>
  </si>
  <si>
    <t>Curtis Institute of Music</t>
  </si>
  <si>
    <t>Cutting Edge Academy</t>
  </si>
  <si>
    <t>Cuyahoga Community College District</t>
  </si>
  <si>
    <t>Cuyahoga Valley Career Center</t>
  </si>
  <si>
    <t>Cuyamaca College</t>
  </si>
  <si>
    <t>CVPH Medical Center School of Radiologic Technology</t>
  </si>
  <si>
    <t>CyberTex Institute of Technology</t>
  </si>
  <si>
    <t>Cypress College</t>
  </si>
  <si>
    <t>Cyrus The Great International Online University</t>
  </si>
  <si>
    <t>D A Dorsey Technical College</t>
  </si>
  <si>
    <t>D&amp;S School of Cosmetology</t>
  </si>
  <si>
    <t>Dabney S Lancaster Community College</t>
  </si>
  <si>
    <t>Daemen University</t>
  </si>
  <si>
    <t>Dakota College at Bottineau</t>
  </si>
  <si>
    <t>Dakota County Technical College</t>
  </si>
  <si>
    <t>Dakota State University</t>
  </si>
  <si>
    <t>Dakota Wesleyan University</t>
  </si>
  <si>
    <t>Dallas Baptist University</t>
  </si>
  <si>
    <t>Dallas Barber &amp; Stylist College</t>
  </si>
  <si>
    <t>Dallas Christian College</t>
  </si>
  <si>
    <t>Dallas College</t>
  </si>
  <si>
    <t>Dallas Institute of Funeral Service</t>
  </si>
  <si>
    <t>Dallas Theological Seminary</t>
  </si>
  <si>
    <t>Dalton Institute of Esthetics and Cosmetology</t>
  </si>
  <si>
    <t>Dalton State College</t>
  </si>
  <si>
    <t>Danville Area Community College</t>
  </si>
  <si>
    <t>Danville Community College</t>
  </si>
  <si>
    <t>Daoist Traditions College of Chinese Medical Arts</t>
  </si>
  <si>
    <t>Dartmouth College</t>
  </si>
  <si>
    <t>Davenport University</t>
  </si>
  <si>
    <t>David Pressley School of Cosmetology</t>
  </si>
  <si>
    <t>Davidson College</t>
  </si>
  <si>
    <t>Davidson-Davie Community College</t>
  </si>
  <si>
    <t>Davines Professional Academy of Beauty and Business</t>
  </si>
  <si>
    <t>Davis &amp; Elkins College</t>
  </si>
  <si>
    <t>Davis College</t>
  </si>
  <si>
    <t>Davis Technical College</t>
  </si>
  <si>
    <t>Dawn Career Institute LLC</t>
  </si>
  <si>
    <t>Dawson Community College</t>
  </si>
  <si>
    <t>Daybreak University</t>
  </si>
  <si>
    <t>Dayton Barber College</t>
  </si>
  <si>
    <t>Dayton School of Medical Massage</t>
  </si>
  <si>
    <t>Daytona College</t>
  </si>
  <si>
    <t>Daytona State College</t>
  </si>
  <si>
    <t>DCI Career Institute</t>
  </si>
  <si>
    <t>De Anza College</t>
  </si>
  <si>
    <t>Dean College</t>
  </si>
  <si>
    <t>Debutantes School of Cosmetology and Nail Technology</t>
  </si>
  <si>
    <t>Defiance College</t>
  </si>
  <si>
    <t>DeHart Technical School</t>
  </si>
  <si>
    <t>Del Mar College</t>
  </si>
  <si>
    <t>Delaware Chenango Madison Otsego BOCES-Practical Nursing Program</t>
  </si>
  <si>
    <t>Delaware College of Art and Design</t>
  </si>
  <si>
    <t>Delaware County Community College</t>
  </si>
  <si>
    <t>Delaware County Technical School-Practical Nursing Program</t>
  </si>
  <si>
    <t>Delaware Learning Institute of Cosmetology</t>
  </si>
  <si>
    <t>Delaware State University</t>
  </si>
  <si>
    <t>Delaware Technical Community College-Central Office</t>
  </si>
  <si>
    <t>Delaware Technical Community College-Terry</t>
  </si>
  <si>
    <t>Delaware Valley University</t>
  </si>
  <si>
    <t>Delgado Community College</t>
  </si>
  <si>
    <t>Dell'Arte International School of Physical Theatre</t>
  </si>
  <si>
    <t>Delmarva Beauty Academy</t>
  </si>
  <si>
    <t>Delta Beauty College</t>
  </si>
  <si>
    <t>Delta College</t>
  </si>
  <si>
    <t>Delta College Inc</t>
  </si>
  <si>
    <t>Delta College of Arts &amp; Technology</t>
  </si>
  <si>
    <t>Delta College of Arts &amp; Technology-Lafayette Campus</t>
  </si>
  <si>
    <t>Delta College-Slidell Campus</t>
  </si>
  <si>
    <t>Delta Designs Cosmetology School</t>
  </si>
  <si>
    <t>Delta State University</t>
  </si>
  <si>
    <t>Delta Technical College-Mississippi</t>
  </si>
  <si>
    <t>Deluxe Barber College</t>
  </si>
  <si>
    <t>Denham Springs Beauty School</t>
  </si>
  <si>
    <t>Denison University</t>
  </si>
  <si>
    <t>Denmark College</t>
  </si>
  <si>
    <t>Denmark Technical College</t>
  </si>
  <si>
    <t>Dental Assistant Pro LLC-Columbus</t>
  </si>
  <si>
    <t>Dental Assistant Pro-Lebanon</t>
  </si>
  <si>
    <t>Denver College of Nursing</t>
  </si>
  <si>
    <t>Denver Seminary</t>
  </si>
  <si>
    <t>DePaul University</t>
  </si>
  <si>
    <t>DePauw University</t>
  </si>
  <si>
    <t>Derech Hachaim Seminary</t>
  </si>
  <si>
    <t>Dermal Science International Aesthetics and Nail Academy</t>
  </si>
  <si>
    <t>Des Moines Area Community College</t>
  </si>
  <si>
    <t>Des Moines University-Osteopathic Medical Center</t>
  </si>
  <si>
    <t>DeSales University</t>
  </si>
  <si>
    <t>Design Institute of San Diego</t>
  </si>
  <si>
    <t>Designer Barber &amp; Stylist School</t>
  </si>
  <si>
    <t>Design's School of Cosmetology</t>
  </si>
  <si>
    <t>Detroit Business Institute-Downriver</t>
  </si>
  <si>
    <t>DeVry College of New York</t>
  </si>
  <si>
    <t>DeVry University-Administrative Office</t>
  </si>
  <si>
    <t>DeVry University-Arizona</t>
  </si>
  <si>
    <t>DeVry University-California</t>
  </si>
  <si>
    <t>DeVry University-Colorado</t>
  </si>
  <si>
    <t>DeVry University-Florida</t>
  </si>
  <si>
    <t>DeVry University-Georgia</t>
  </si>
  <si>
    <t>DeVry University-Illinois</t>
  </si>
  <si>
    <t>DeVry University-Indiana</t>
  </si>
  <si>
    <t>DeVry University-Missouri</t>
  </si>
  <si>
    <t>DeVry University-Nevada</t>
  </si>
  <si>
    <t>DeVry University-New Jersey</t>
  </si>
  <si>
    <t>DeVry University-North Carolina</t>
  </si>
  <si>
    <t>DeVry University-Ohio</t>
  </si>
  <si>
    <t>DeVry University-Pennsylvania</t>
  </si>
  <si>
    <t>DeVry University-Tennessee</t>
  </si>
  <si>
    <t>DeVry University-Texas</t>
  </si>
  <si>
    <t>DeVry University-Virginia</t>
  </si>
  <si>
    <t>Dewey University-Carolina</t>
  </si>
  <si>
    <t>Dewey University-Hato Rey</t>
  </si>
  <si>
    <t>Dewey University-Juana DÃ­az</t>
  </si>
  <si>
    <t>Dewey University-Manati</t>
  </si>
  <si>
    <t>Diablo Valley College</t>
  </si>
  <si>
    <t>Diamond Beauty College</t>
  </si>
  <si>
    <t>Diamonds Cosmetology College</t>
  </si>
  <si>
    <t>Dickinson College</t>
  </si>
  <si>
    <t>Dickinson State University</t>
  </si>
  <si>
    <t>Diesel Driving Academy-Baton Rouge</t>
  </si>
  <si>
    <t>Diesel Driving Academy-Shreveport</t>
  </si>
  <si>
    <t>DigiPen Institute of Technology</t>
  </si>
  <si>
    <t>Digital Film Academy</t>
  </si>
  <si>
    <t>Digital Media Institute at InterTech</t>
  </si>
  <si>
    <t>DiGrigoli School of Cosmetology</t>
  </si>
  <si>
    <t>Dillard University</t>
  </si>
  <si>
    <t>Diman Regional Technical Institute</t>
  </si>
  <si>
    <t>Dine College</t>
  </si>
  <si>
    <t>Divers Academy International</t>
  </si>
  <si>
    <t>Divers Institute of Technology</t>
  </si>
  <si>
    <t>Diversified Vocational College</t>
  </si>
  <si>
    <t>Divine Mercy University</t>
  </si>
  <si>
    <t>Divine Word College</t>
  </si>
  <si>
    <t>Dixie State University</t>
  </si>
  <si>
    <t>Dixie Technical College</t>
  </si>
  <si>
    <t>DLP Conemaugh Memorial Medical Center</t>
  </si>
  <si>
    <t>D'Mart Institute</t>
  </si>
  <si>
    <t>Doane University</t>
  </si>
  <si>
    <t>Dodge City Community College</t>
  </si>
  <si>
    <t>Dolce The Academy</t>
  </si>
  <si>
    <t>Dominican College of Blauvelt</t>
  </si>
  <si>
    <t>Dominican School of Philosophy &amp; Theology</t>
  </si>
  <si>
    <t>Dominican University</t>
  </si>
  <si>
    <t>Dominican University of California</t>
  </si>
  <si>
    <t>Don Roberts School of Hair Design</t>
  </si>
  <si>
    <t>Dongguk University Los Angeles</t>
  </si>
  <si>
    <t>Donnelly College</t>
  </si>
  <si>
    <t>Dordt University</t>
  </si>
  <si>
    <t>Dorsey College</t>
  </si>
  <si>
    <t>Dorsey College-Dearborn</t>
  </si>
  <si>
    <t>Dorsey College-Roseville</t>
  </si>
  <si>
    <t>Dorsey College-Saginaw</t>
  </si>
  <si>
    <t>Dorsey College-Wayne</t>
  </si>
  <si>
    <t>Dorsey College-Woodhaven</t>
  </si>
  <si>
    <t>Dorsey School of Business-Madison Heights</t>
  </si>
  <si>
    <t>Douglas Education Center</t>
  </si>
  <si>
    <t>Douglas J Aveda Institute</t>
  </si>
  <si>
    <t>Downey Adult School</t>
  </si>
  <si>
    <t>Dr. Ida Rolf Institute</t>
  </si>
  <si>
    <t>Dragon Rises College of Oriental Medicine</t>
  </si>
  <si>
    <t>Drake University</t>
  </si>
  <si>
    <t>Drew University</t>
  </si>
  <si>
    <t>Drexel University</t>
  </si>
  <si>
    <t>Drury University</t>
  </si>
  <si>
    <t>Drury University-College of Continuing Professional Studies</t>
  </si>
  <si>
    <t>DSDT</t>
  </si>
  <si>
    <t>Duke University</t>
  </si>
  <si>
    <t>Dunwoody College of Technology</t>
  </si>
  <si>
    <t>Duquesne University</t>
  </si>
  <si>
    <t>Durant Institute of Hair Design</t>
  </si>
  <si>
    <t>Durham Technical Community College</t>
  </si>
  <si>
    <t>Dutchess BOCES-Practical Nursing Program</t>
  </si>
  <si>
    <t>Dutchess Community College</t>
  </si>
  <si>
    <t>DuVall's School of Cosmetology</t>
  </si>
  <si>
    <t>Dyersburg State Community College</t>
  </si>
  <si>
    <t>D'Youville College</t>
  </si>
  <si>
    <t>E Q School of Hair Design</t>
  </si>
  <si>
    <t>Ea La Mar's Cosmetology &amp; Barber College</t>
  </si>
  <si>
    <t>Eagle Gate College-Boise Campus</t>
  </si>
  <si>
    <t>Eagle Gate College-Layton</t>
  </si>
  <si>
    <t>Eagle Gate College-Murray</t>
  </si>
  <si>
    <t>Earlham College</t>
  </si>
  <si>
    <t>East Arkansas Community College</t>
  </si>
  <si>
    <t>East Carolina University</t>
  </si>
  <si>
    <t>East Central College</t>
  </si>
  <si>
    <t>East Central Community College</t>
  </si>
  <si>
    <t>East Central University</t>
  </si>
  <si>
    <t>East Georgia State College</t>
  </si>
  <si>
    <t>East Los Angeles College</t>
  </si>
  <si>
    <t>East Mississippi Community College</t>
  </si>
  <si>
    <t>East Ohio College</t>
  </si>
  <si>
    <t>East Stroudsburg University of Pennsylvania</t>
  </si>
  <si>
    <t>East Tennessee State University</t>
  </si>
  <si>
    <t>East Texas Baptist University</t>
  </si>
  <si>
    <t>East Valley Institute of Technology</t>
  </si>
  <si>
    <t>East West College of Natural Medicine</t>
  </si>
  <si>
    <t>East West College of the Healing Arts</t>
  </si>
  <si>
    <t>Eastern Arizona College</t>
  </si>
  <si>
    <t>Eastern Center for Arts and Technology</t>
  </si>
  <si>
    <t>Eastern College of Health Vocations-Little Rock</t>
  </si>
  <si>
    <t>Eastern College of Health Vocations-New Orleans</t>
  </si>
  <si>
    <t>Eastern Connecticut State University</t>
  </si>
  <si>
    <t>Eastern Florida State College</t>
  </si>
  <si>
    <t>Eastern Gateway Community College</t>
  </si>
  <si>
    <t>Eastern Illinois University</t>
  </si>
  <si>
    <t>Eastern International College-Belleville</t>
  </si>
  <si>
    <t>Eastern International College-Jersey City</t>
  </si>
  <si>
    <t>Eastern Iowa Community College District</t>
  </si>
  <si>
    <t>Eastern Kentucky University</t>
  </si>
  <si>
    <t>Eastern Maine Community College</t>
  </si>
  <si>
    <t>Eastern Mennonite University</t>
  </si>
  <si>
    <t>Eastern Michigan University</t>
  </si>
  <si>
    <t>Eastern Nazarene College</t>
  </si>
  <si>
    <t>Eastern New Mexico University Ruidoso Branch Community College</t>
  </si>
  <si>
    <t>Eastern New Mexico University-Main Campus</t>
  </si>
  <si>
    <t>Eastern New Mexico University-Roswell Campus</t>
  </si>
  <si>
    <t>Eastern Oklahoma County Technology Center</t>
  </si>
  <si>
    <t>Eastern Oklahoma State College</t>
  </si>
  <si>
    <t>Eastern Oregon University</t>
  </si>
  <si>
    <t>Eastern School of Acupuncture and Traditional Medicine</t>
  </si>
  <si>
    <t>Eastern Shore Community College</t>
  </si>
  <si>
    <t>Eastern Suffolk BOCES</t>
  </si>
  <si>
    <t>Eastern University</t>
  </si>
  <si>
    <t>Eastern Virginia Career College</t>
  </si>
  <si>
    <t>Eastern Virginia Medical School</t>
  </si>
  <si>
    <t>Eastern Washington University</t>
  </si>
  <si>
    <t>Eastern West Virginia Community and Technical College</t>
  </si>
  <si>
    <t>Eastern Wyoming College</t>
  </si>
  <si>
    <t>Eastland-Fairfield Career and Technical Schools</t>
  </si>
  <si>
    <t>East-West Healing Arts Institute</t>
  </si>
  <si>
    <t>East-West University</t>
  </si>
  <si>
    <t>Eastwick College-Hackensack</t>
  </si>
  <si>
    <t>Eastwick College-Nutley</t>
  </si>
  <si>
    <t>Eastwick College-Ramsey</t>
  </si>
  <si>
    <t>Ecclesia College</t>
  </si>
  <si>
    <t>Eckerd College</t>
  </si>
  <si>
    <t>ECPI University</t>
  </si>
  <si>
    <t>Ecumenical Theological Seminary</t>
  </si>
  <si>
    <t>Eden Theological Seminary</t>
  </si>
  <si>
    <t>Edgecombe Community College</t>
  </si>
  <si>
    <t>Edgewood College</t>
  </si>
  <si>
    <t>EDIC College</t>
  </si>
  <si>
    <t>Edinboro University of Pennsylvania</t>
  </si>
  <si>
    <t>Edison State Community College</t>
  </si>
  <si>
    <t>Edmonds College</t>
  </si>
  <si>
    <t>EDP School</t>
  </si>
  <si>
    <t>EDP University of Puerto Rico Inc-San Juan</t>
  </si>
  <si>
    <t>EDP University of Puerto Rico Inc-San Sebastian</t>
  </si>
  <si>
    <t>EDP University of Puerto Rico-Humacao</t>
  </si>
  <si>
    <t>EDP University of Puerto Rico-Manati</t>
  </si>
  <si>
    <t>EDP University of Puerto Rico-Villalba</t>
  </si>
  <si>
    <t>Educational Technical College</t>
  </si>
  <si>
    <t>Educational Technical College-Recinto de Bayamon</t>
  </si>
  <si>
    <t>Educational Technical College-Recinto de Coamo</t>
  </si>
  <si>
    <t>Educators of Beauty College of Cosmetology-Peru</t>
  </si>
  <si>
    <t>Educators of Beauty College of Cosmetology-Rockford</t>
  </si>
  <si>
    <t>Educators of Beauty College of Cosmetology-Sterling</t>
  </si>
  <si>
    <t>EduMed Partners</t>
  </si>
  <si>
    <t>Edward Via College of Osteopathic Medicine</t>
  </si>
  <si>
    <t>Edward Waters University</t>
  </si>
  <si>
    <t>EHOVE Career Center</t>
  </si>
  <si>
    <t>EINE Inc</t>
  </si>
  <si>
    <t>El Camino Community College District</t>
  </si>
  <si>
    <t>El Paso Community College</t>
  </si>
  <si>
    <t>Elaine Sterling Institute</t>
  </si>
  <si>
    <t>Electrical and HVAC/R Training Center</t>
  </si>
  <si>
    <t>Elevate Salon Institute</t>
  </si>
  <si>
    <t>Elevate Salon Institute-Westminster</t>
  </si>
  <si>
    <t>Elgin Community College</t>
  </si>
  <si>
    <t>Elim Bible Institute and College</t>
  </si>
  <si>
    <t>Elite Academy of Hair Design</t>
  </si>
  <si>
    <t>Elite College of Cosmetology</t>
  </si>
  <si>
    <t>Elite Cosmetology School</t>
  </si>
  <si>
    <t>Elite Cosmetology, Barber &amp; Spa Academy</t>
  </si>
  <si>
    <t>Elite School of Cosmetology</t>
  </si>
  <si>
    <t>Elite Welding Academy</t>
  </si>
  <si>
    <t>Elite Welding Academy LLC</t>
  </si>
  <si>
    <t>Elite Welding Academy South Point</t>
  </si>
  <si>
    <t>Elizabeth City State University</t>
  </si>
  <si>
    <t>Elizabeth Grady School of Esthetics and Massage Therapy</t>
  </si>
  <si>
    <t>Elizabethtown College</t>
  </si>
  <si>
    <t>Elizabethtown Community and Technical College</t>
  </si>
  <si>
    <t>Ellsworth Community College</t>
  </si>
  <si>
    <t>Elmezzi Graduate School of Molecular Medicine</t>
  </si>
  <si>
    <t>Elmhurst University</t>
  </si>
  <si>
    <t>Elmira Business Institute</t>
  </si>
  <si>
    <t>Elmira College</t>
  </si>
  <si>
    <t>Elon University</t>
  </si>
  <si>
    <t>Elyon College</t>
  </si>
  <si>
    <t>Embry-Riddle Aeronautical University-Daytona Beach</t>
  </si>
  <si>
    <t>Embry-Riddle Aeronautical University-Prescott</t>
  </si>
  <si>
    <t>Embry-Riddle Aeronautical University-Worldwide</t>
  </si>
  <si>
    <t>Emerald Coast Technical College</t>
  </si>
  <si>
    <t>Emerson College</t>
  </si>
  <si>
    <t>Emily Griffith Technical College</t>
  </si>
  <si>
    <t>Emmanuel College</t>
  </si>
  <si>
    <t>Emma's Beauty Academy-Juana Diaz</t>
  </si>
  <si>
    <t>Emma's Beauty Academy-Mayaguez</t>
  </si>
  <si>
    <t>Emmaus Bible College</t>
  </si>
  <si>
    <t>Emory &amp; Henry College</t>
  </si>
  <si>
    <t>Emory University</t>
  </si>
  <si>
    <t>Emory University-Oxford College</t>
  </si>
  <si>
    <t>Emperor's College of Traditional Oriental Medicine</t>
  </si>
  <si>
    <t>Empire Beauty  School-Lehigh Valley</t>
  </si>
  <si>
    <t>Empire Beauty School-Augusta</t>
  </si>
  <si>
    <t>Empire Beauty School-Aurora</t>
  </si>
  <si>
    <t>Empire Beauty School-Avondale</t>
  </si>
  <si>
    <t>Empire Beauty School-Bloomfield</t>
  </si>
  <si>
    <t>Empire Beauty School-Bloomington</t>
  </si>
  <si>
    <t>Empire Beauty School-Bordentown</t>
  </si>
  <si>
    <t>Empire Beauty School-Boston</t>
  </si>
  <si>
    <t>Empire Beauty School-Brooklyn</t>
  </si>
  <si>
    <t>Empire Beauty School-Buffalo</t>
  </si>
  <si>
    <t>Empire Beauty School-Center City Philadelphia</t>
  </si>
  <si>
    <t>Empire Beauty School-Chandler</t>
  </si>
  <si>
    <t>Empire Beauty School-Charlotte</t>
  </si>
  <si>
    <t>Empire Beauty School-Cheltenham</t>
  </si>
  <si>
    <t>Empire Beauty School-Chenoweth</t>
  </si>
  <si>
    <t>Empire Beauty School-Cherry Hill</t>
  </si>
  <si>
    <t>Empire Beauty School-Cincinnati</t>
  </si>
  <si>
    <t>Empire Beauty School-Concord</t>
  </si>
  <si>
    <t>Empire Beauty School-Dixie</t>
  </si>
  <si>
    <t>Empire Beauty School-E Memphis</t>
  </si>
  <si>
    <t>Empire Beauty School-Elizabethtown</t>
  </si>
  <si>
    <t>Empire Beauty School-Florence</t>
  </si>
  <si>
    <t>Empire Beauty School-Glen Burnie</t>
  </si>
  <si>
    <t>Empire Beauty School-Green Bay</t>
  </si>
  <si>
    <t>Empire Beauty School-Gwinnett</t>
  </si>
  <si>
    <t>Empire Beauty School-Hanover</t>
  </si>
  <si>
    <t>Empire Beauty School-Harrisburg</t>
  </si>
  <si>
    <t>Empire Beauty School-Hooksett</t>
  </si>
  <si>
    <t>Empire Beauty School-Indianapolis</t>
  </si>
  <si>
    <t>Empire Beauty School-Jackson</t>
  </si>
  <si>
    <t>Empire Beauty School-Kennesaw</t>
  </si>
  <si>
    <t>Empire Beauty School-Laconia</t>
  </si>
  <si>
    <t>Empire Beauty School-Lakeland</t>
  </si>
  <si>
    <t>Empire Beauty School-Lancaster</t>
  </si>
  <si>
    <t>Empire Beauty School-Lebanon</t>
  </si>
  <si>
    <t>Empire Beauty School-Littleton</t>
  </si>
  <si>
    <t>Empire Beauty School-Maine</t>
  </si>
  <si>
    <t>Empire Beauty School-Malden</t>
  </si>
  <si>
    <t>Empire Beauty School-Manhattan</t>
  </si>
  <si>
    <t>Empire Beauty School-Michigan</t>
  </si>
  <si>
    <t>Empire Beauty School-Midlothian</t>
  </si>
  <si>
    <t>Empire Beauty School-Milwaukee</t>
  </si>
  <si>
    <t>Empire Beauty School-Monroeville</t>
  </si>
  <si>
    <t>Empire Beauty School-Morrow</t>
  </si>
  <si>
    <t>Empire Beauty School-Nashville</t>
  </si>
  <si>
    <t>Empire Beauty School-NE Philadelphia</t>
  </si>
  <si>
    <t>Empire Beauty School-Newport News</t>
  </si>
  <si>
    <t>Empire Beauty School-North Hills</t>
  </si>
  <si>
    <t>Empire Beauty School-Northlake</t>
  </si>
  <si>
    <t>Empire Beauty School-NW Phoenix</t>
  </si>
  <si>
    <t>Empire Beauty School-Owings Mills</t>
  </si>
  <si>
    <t>Empire Beauty School-Peekskill</t>
  </si>
  <si>
    <t>Empire Beauty School-Pineville</t>
  </si>
  <si>
    <t>Empire Beauty School-Pottsville</t>
  </si>
  <si>
    <t>Empire Beauty School-Queens</t>
  </si>
  <si>
    <t>Empire Beauty School-Reading</t>
  </si>
  <si>
    <t>Empire Beauty School-Richmond</t>
  </si>
  <si>
    <t>Empire Beauty School-Rochester</t>
  </si>
  <si>
    <t>Empire Beauty School-S Memphis</t>
  </si>
  <si>
    <t>Empire Beauty School-Savannah</t>
  </si>
  <si>
    <t>Empire Beauty School-Shamokin Dam</t>
  </si>
  <si>
    <t>Empire Beauty School-Somersworth</t>
  </si>
  <si>
    <t>Empire Beauty School-Speedway</t>
  </si>
  <si>
    <t>Empire Beauty School-Spring Lake Park</t>
  </si>
  <si>
    <t>Empire Beauty School-Springfield</t>
  </si>
  <si>
    <t>Empire Beauty School-Stone Park</t>
  </si>
  <si>
    <t>Empire Beauty School-Tampa</t>
  </si>
  <si>
    <t>Empire Beauty School-Thornton</t>
  </si>
  <si>
    <t>Empire Beauty School-Tucson</t>
  </si>
  <si>
    <t>Empire Beauty School-Union</t>
  </si>
  <si>
    <t>Empire Beauty School-Vernon Hills</t>
  </si>
  <si>
    <t>Empire Beauty School-Virginia Beach</t>
  </si>
  <si>
    <t>Empire Beauty School-Warwick</t>
  </si>
  <si>
    <t>Empire Beauty School-West Greensboro</t>
  </si>
  <si>
    <t>Empire Beauty School-West Mifflin</t>
  </si>
  <si>
    <t>Empire Beauty School-West Palm</t>
  </si>
  <si>
    <t>Empire Beauty School-Winston-Salem</t>
  </si>
  <si>
    <t>Empire Beauty School-Wyoming Valley</t>
  </si>
  <si>
    <t>Empire Beauty School-York</t>
  </si>
  <si>
    <t>Empire College</t>
  </si>
  <si>
    <t>Employment Solutions-College for Technical Education</t>
  </si>
  <si>
    <t>Emporia State University</t>
  </si>
  <si>
    <t>Endicott College</t>
  </si>
  <si>
    <t>Enid Beauty College</t>
  </si>
  <si>
    <t>Ensign College</t>
  </si>
  <si>
    <t>Enterprise State Community College</t>
  </si>
  <si>
    <t>Epic Bible College &amp; Graduate School</t>
  </si>
  <si>
    <t>Episcopal Theological Seminary of the Southwest</t>
  </si>
  <si>
    <t>Eric Fisher Academy</t>
  </si>
  <si>
    <t>Erie 1 BOCES</t>
  </si>
  <si>
    <t>Erie 2 Chautauqua Cattaraugus BOCES-Practical Nursing Program</t>
  </si>
  <si>
    <t>Erie Community College</t>
  </si>
  <si>
    <t>Erie Institute of Technology Inc</t>
  </si>
  <si>
    <t>Erikson Institute</t>
  </si>
  <si>
    <t>Erskine College</t>
  </si>
  <si>
    <t>Erwin Technical College</t>
  </si>
  <si>
    <t>Escondido Adult School</t>
  </si>
  <si>
    <t>Escuela de Artes Plasticas y Diseno de Puerto Rico</t>
  </si>
  <si>
    <t>Escuela de Peritos Electricistas de Isabela Inc</t>
  </si>
  <si>
    <t>Escuela De Troqueleria Y Herramentaje</t>
  </si>
  <si>
    <t>Escuela Hotelera de San Juan</t>
  </si>
  <si>
    <t>Escuela Tecnica de Electricidad</t>
  </si>
  <si>
    <t>Essex County College</t>
  </si>
  <si>
    <t>Esteem Academy of Beauty</t>
  </si>
  <si>
    <t>Estelle Medical Academy</t>
  </si>
  <si>
    <t>Estelle Skin Care and Spa Institute</t>
  </si>
  <si>
    <t>Estes Institute of Cosmetology Arts and Science</t>
  </si>
  <si>
    <t>Estrella Mountain Community College</t>
  </si>
  <si>
    <t>ETI School of Skilled Trades</t>
  </si>
  <si>
    <t>ETI Technical College</t>
  </si>
  <si>
    <t>Euphoria Institute of Beauty Arts &amp; Sciences-Summerlin</t>
  </si>
  <si>
    <t>Eureka College</t>
  </si>
  <si>
    <t>European Massage Therapy School-Las Vegas</t>
  </si>
  <si>
    <t>European Medical School of Massage</t>
  </si>
  <si>
    <t>Evangel University</t>
  </si>
  <si>
    <t>Evangelical Theological Seminary</t>
  </si>
  <si>
    <t>Evans Hairstyling College-Cedar City</t>
  </si>
  <si>
    <t>Evans Hairstyling College-Rexburg</t>
  </si>
  <si>
    <t>Evans Hairstyling College-St George</t>
  </si>
  <si>
    <t>Everett Community College</t>
  </si>
  <si>
    <t>Everglades University</t>
  </si>
  <si>
    <t>Evergreen Beauty and Barber College-Everett</t>
  </si>
  <si>
    <t>Evergreen Valley College</t>
  </si>
  <si>
    <t>Eves College of Hairstyling</t>
  </si>
  <si>
    <t>Evolve Beauty Academy</t>
  </si>
  <si>
    <t>Evvaylois Academy School of Beauty</t>
  </si>
  <si>
    <t>Excelsior College</t>
  </si>
  <si>
    <t>Exposito School of Hair Design</t>
  </si>
  <si>
    <t>Fairfax University of America</t>
  </si>
  <si>
    <t>Fairfield University</t>
  </si>
  <si>
    <t>Fairleigh Dickinson University-Florham Campus</t>
  </si>
  <si>
    <t>Fairleigh Dickinson University-Metropolitan Campus</t>
  </si>
  <si>
    <t>Fairmont State University</t>
  </si>
  <si>
    <t>Faith Baptist Bible College and Theological Seminary</t>
  </si>
  <si>
    <t>Faith International University</t>
  </si>
  <si>
    <t>Faith Theological Seminary and Christian College</t>
  </si>
  <si>
    <t>Falcon Institute of Health and Science</t>
  </si>
  <si>
    <t>Family of Faith Christian University</t>
  </si>
  <si>
    <t>Farmingdale State College</t>
  </si>
  <si>
    <t>Fashion Institute of Technology</t>
  </si>
  <si>
    <t>Faulkner University</t>
  </si>
  <si>
    <t>Faust Institute of Cosmetology-Spirit Lake</t>
  </si>
  <si>
    <t>Fayette County Career &amp; Technical Institute Practical Nursing Program</t>
  </si>
  <si>
    <t>Fayette Institute of Technology</t>
  </si>
  <si>
    <t>Fayetteville State University</t>
  </si>
  <si>
    <t>Fayetteville Technical Community College</t>
  </si>
  <si>
    <t>Feather River Community College District</t>
  </si>
  <si>
    <t>Federico Beauty Institute</t>
  </si>
  <si>
    <t>Felbry College School of Nursing</t>
  </si>
  <si>
    <t>Felician University</t>
  </si>
  <si>
    <t>Ferris State University</t>
  </si>
  <si>
    <t>Ferrum College</t>
  </si>
  <si>
    <t>FIDM-Fashion Institute of Design &amp; Merchandising-Los Angeles</t>
  </si>
  <si>
    <t>FIDM-Fashion Institute of Design &amp; Merchandising-San Francisco</t>
  </si>
  <si>
    <t>Fielding Graduate University</t>
  </si>
  <si>
    <t>FINE Mortuary College</t>
  </si>
  <si>
    <t>Finger Lakes Community College</t>
  </si>
  <si>
    <t>Finger Lakes Health College of Nursing &amp; Health Sciences</t>
  </si>
  <si>
    <t>Finlandia University</t>
  </si>
  <si>
    <t>Firelands Regional Medical Center School of Nursing</t>
  </si>
  <si>
    <t>First Class Cosmetology School</t>
  </si>
  <si>
    <t>First Coast Barber Academy</t>
  </si>
  <si>
    <t>First Coast Technical College</t>
  </si>
  <si>
    <t>First Institute of Travel, Inc.</t>
  </si>
  <si>
    <t>Fisher College</t>
  </si>
  <si>
    <t>Fisk University</t>
  </si>
  <si>
    <t>Fitchburg State University</t>
  </si>
  <si>
    <t>Five Branches University</t>
  </si>
  <si>
    <t>Five Towns College</t>
  </si>
  <si>
    <t>Flagler College</t>
  </si>
  <si>
    <t>Flagler Technical College</t>
  </si>
  <si>
    <t>Flair Beauty College</t>
  </si>
  <si>
    <t>Flathead Valley Community College</t>
  </si>
  <si>
    <t>Fletcher Technical Community College</t>
  </si>
  <si>
    <t>Flint Hills Technical College</t>
  </si>
  <si>
    <t>Flint Institute of Barbering Inc</t>
  </si>
  <si>
    <t>Florence-Darlington Technical College</t>
  </si>
  <si>
    <t>Florida Academy</t>
  </si>
  <si>
    <t>Florida Academy of Health &amp; Beauty</t>
  </si>
  <si>
    <t>Florida Academy of Nursing</t>
  </si>
  <si>
    <t>Florida Agricultural and Mechanical University</t>
  </si>
  <si>
    <t>Florida Atlantic University</t>
  </si>
  <si>
    <t>Florida Barber Academy</t>
  </si>
  <si>
    <t>Florida Career College-Boynton Beach</t>
  </si>
  <si>
    <t>Florida Career College-Hialeah</t>
  </si>
  <si>
    <t>Florida Career College-Houston</t>
  </si>
  <si>
    <t>Florida Career College-Jacksonville</t>
  </si>
  <si>
    <t>Florida Career College-Lauderdale Lakes</t>
  </si>
  <si>
    <t>Florida Career College-Margate</t>
  </si>
  <si>
    <t>Florida Career College-Miami</t>
  </si>
  <si>
    <t>Florida Career College-Orlando</t>
  </si>
  <si>
    <t>Florida Career College-Pembroke Pines</t>
  </si>
  <si>
    <t>Florida Career College-Tampa</t>
  </si>
  <si>
    <t>Florida Career College-West Palm Beach</t>
  </si>
  <si>
    <t>Florida Coastal School of Law</t>
  </si>
  <si>
    <t>Florida College</t>
  </si>
  <si>
    <t>Florida College of Integrative Medicine</t>
  </si>
  <si>
    <t>Florida Education Institute</t>
  </si>
  <si>
    <t>Florida Gateway College</t>
  </si>
  <si>
    <t>Florida Gulf Coast University</t>
  </si>
  <si>
    <t>Florida Institute of Recording Sound and Technology</t>
  </si>
  <si>
    <t>Florida Institute of Technology</t>
  </si>
  <si>
    <t>Florida Institute of Technology-Online</t>
  </si>
  <si>
    <t>Florida Institute of Ultrasound Inc</t>
  </si>
  <si>
    <t>Florida International Training Institute</t>
  </si>
  <si>
    <t>Florida International University</t>
  </si>
  <si>
    <t>Florida Memorial University</t>
  </si>
  <si>
    <t>Florida National University-Main Campus</t>
  </si>
  <si>
    <t>Florida Panhandle Technical College</t>
  </si>
  <si>
    <t>Florida Polytechnic University</t>
  </si>
  <si>
    <t>Florida Professional Institute</t>
  </si>
  <si>
    <t>Florida School of Massage</t>
  </si>
  <si>
    <t>Florida School of Traditional Midwifery</t>
  </si>
  <si>
    <t>Florida Southern College</t>
  </si>
  <si>
    <t>Florida SouthWestern State College</t>
  </si>
  <si>
    <t>Florida State College at Jacksonville</t>
  </si>
  <si>
    <t>Florida State University</t>
  </si>
  <si>
    <t>Focus Personal Training Institute</t>
  </si>
  <si>
    <t>Folsom Lake College</t>
  </si>
  <si>
    <t>Fond du Lac Tribal and Community College</t>
  </si>
  <si>
    <t>Fontbonne University</t>
  </si>
  <si>
    <t>Foothill College</t>
  </si>
  <si>
    <t>Foothill-De Anza Community College District</t>
  </si>
  <si>
    <t>Forbes Road Career and Technology Center</t>
  </si>
  <si>
    <t>Fordham University</t>
  </si>
  <si>
    <t>Formations Institute of Cosmetology &amp; Barbering</t>
  </si>
  <si>
    <t>Forsyth Technical Community College</t>
  </si>
  <si>
    <t>Fort Hays State University</t>
  </si>
  <si>
    <t>Fort Lewis College</t>
  </si>
  <si>
    <t>Fort Myers Technical College</t>
  </si>
  <si>
    <t>Fort Peck Community College</t>
  </si>
  <si>
    <t>Fort Pierce Beauty Academy</t>
  </si>
  <si>
    <t>Fort Scott Community College</t>
  </si>
  <si>
    <t>Fort Valley State University</t>
  </si>
  <si>
    <t>Fort Worth Beauty School</t>
  </si>
  <si>
    <t>Fortis College</t>
  </si>
  <si>
    <t>Fortis College-Baton Rouge</t>
  </si>
  <si>
    <t>Fortis College-Centerville</t>
  </si>
  <si>
    <t>Fortis College-Cincinnati</t>
  </si>
  <si>
    <t>Fortis College-Columbia</t>
  </si>
  <si>
    <t>Fortis College-Columbus</t>
  </si>
  <si>
    <t>Fortis College-Cutler Bay</t>
  </si>
  <si>
    <t>Fortis College-Cuyahoga Falls</t>
  </si>
  <si>
    <t>Fortis College-Dothan</t>
  </si>
  <si>
    <t>Fortis College-Foley</t>
  </si>
  <si>
    <t>Fortis College-Indianapolis</t>
  </si>
  <si>
    <t>Fortis College-Landover</t>
  </si>
  <si>
    <t>Fortis College-Montgomery</t>
  </si>
  <si>
    <t>Fortis College-Norfolk</t>
  </si>
  <si>
    <t>Fortis College-Orange Park</t>
  </si>
  <si>
    <t>Fortis College-Richmond</t>
  </si>
  <si>
    <t>Fortis College-Salt Lake City</t>
  </si>
  <si>
    <t>Fortis College-Smyrna</t>
  </si>
  <si>
    <t>Fortis Institute</t>
  </si>
  <si>
    <t>Fortis Institute-Birmingham</t>
  </si>
  <si>
    <t>Fortis Institute-Cookeville</t>
  </si>
  <si>
    <t>Fortis Institute-Forty Fort</t>
  </si>
  <si>
    <t>Fortis Institute-Lawrenceville</t>
  </si>
  <si>
    <t>Fortis Institute-Nashville</t>
  </si>
  <si>
    <t>Fortis Institute-Pensacola</t>
  </si>
  <si>
    <t>Fortis Institute-Port Saint Lucie</t>
  </si>
  <si>
    <t>Fortis Institute-Scranton</t>
  </si>
  <si>
    <t>Fortis Institute-Towson</t>
  </si>
  <si>
    <t>Fortis Institute-Wayne</t>
  </si>
  <si>
    <t>Fosbre Academy of Hair Design</t>
  </si>
  <si>
    <t>Fosters Cosmetology College</t>
  </si>
  <si>
    <t>Fountain of Youth Academy of Cosmetology</t>
  </si>
  <si>
    <t>Four County Career Center</t>
  </si>
  <si>
    <t>Four Rivers Career Center</t>
  </si>
  <si>
    <t>Fox College</t>
  </si>
  <si>
    <t>Fox Valley Technical College</t>
  </si>
  <si>
    <t>Framingham State University</t>
  </si>
  <si>
    <t>Francis Marion University</t>
  </si>
  <si>
    <t>Francis Tuttle Technology Center</t>
  </si>
  <si>
    <t>Franciscan Missionaries of Our Lady University</t>
  </si>
  <si>
    <t>Franciscan School of Theology</t>
  </si>
  <si>
    <t>Franciscan University of Steubenville</t>
  </si>
  <si>
    <t>Frank Phillips College</t>
  </si>
  <si>
    <t>Franklin and Marshall College</t>
  </si>
  <si>
    <t>Franklin College</t>
  </si>
  <si>
    <t>Franklin County Career and Technology Center</t>
  </si>
  <si>
    <t>Franklin Hair Academy School of Cosmetology</t>
  </si>
  <si>
    <t>Franklin Pierce University</t>
  </si>
  <si>
    <t>Franklin Technology Center Adult Education</t>
  </si>
  <si>
    <t>Franklin University</t>
  </si>
  <si>
    <t>Franklin W Olin College of Engineering</t>
  </si>
  <si>
    <t>Fred K Marchman Technical College</t>
  </si>
  <si>
    <t>Fred W Eberle Technical Center</t>
  </si>
  <si>
    <t>Frederick Community College</t>
  </si>
  <si>
    <t>Fredrick and Charles Beauty College</t>
  </si>
  <si>
    <t>Freed-Hardeman University</t>
  </si>
  <si>
    <t>Fremont College</t>
  </si>
  <si>
    <t>French Academy of Cosmetology</t>
  </si>
  <si>
    <t>Fresno City College</t>
  </si>
  <si>
    <t>Fresno Pacific University</t>
  </si>
  <si>
    <t>Friends University</t>
  </si>
  <si>
    <t>Front Range Community College</t>
  </si>
  <si>
    <t>Frontier Community College</t>
  </si>
  <si>
    <t>Frontier Nursing University</t>
  </si>
  <si>
    <t>Frostburg State University</t>
  </si>
  <si>
    <t>Full Sail University</t>
  </si>
  <si>
    <t>Fuller Theological Seminary</t>
  </si>
  <si>
    <t>Fullerton College</t>
  </si>
  <si>
    <t>Fulton-Montgomery Community College</t>
  </si>
  <si>
    <t>Furman University</t>
  </si>
  <si>
    <t>Futura Career Institute</t>
  </si>
  <si>
    <t>Future Generations University</t>
  </si>
  <si>
    <t>Future-Tech Institute</t>
  </si>
  <si>
    <t>FVI School of Nursing and Technology</t>
  </si>
  <si>
    <t>G Skin &amp; Beauty Institute</t>
  </si>
  <si>
    <t>GA Beauty &amp; Barber School</t>
  </si>
  <si>
    <t>Gadsden State Community College</t>
  </si>
  <si>
    <t>Gadsden Technical Institute</t>
  </si>
  <si>
    <t>Galaxy Medical College</t>
  </si>
  <si>
    <t>Galen College of Nursing-ARH</t>
  </si>
  <si>
    <t>Galen College of Nursing-Cincinnati</t>
  </si>
  <si>
    <t>Galen College of Nursing-Louisville</t>
  </si>
  <si>
    <t>Galen College of Nursing-San Antonio</t>
  </si>
  <si>
    <t>Galen College of Nursing-Tampa Bay</t>
  </si>
  <si>
    <t>Galen Health Institutes-Austin Campus</t>
  </si>
  <si>
    <t>Galen Health Institutes-Miami Campus</t>
  </si>
  <si>
    <t>Galen Health Institutes-Nashville Campus</t>
  </si>
  <si>
    <t>Gallaudet University</t>
  </si>
  <si>
    <t>Galveston College</t>
  </si>
  <si>
    <t>Gannon University</t>
  </si>
  <si>
    <t>Garden City Community College</t>
  </si>
  <si>
    <t>Garden State Science and Technology Institute</t>
  </si>
  <si>
    <t>Gardner-Webb University</t>
  </si>
  <si>
    <t>Garnet Career Center</t>
  </si>
  <si>
    <t>Garrett College</t>
  </si>
  <si>
    <t>Garrett-Evangelical Theological Seminary</t>
  </si>
  <si>
    <t>Gaston College</t>
  </si>
  <si>
    <t>Gateway Community and Technical College</t>
  </si>
  <si>
    <t>GateWay Community College</t>
  </si>
  <si>
    <t>Gateway Community College</t>
  </si>
  <si>
    <t>GateWay Community College-Central City</t>
  </si>
  <si>
    <t>Gateway Technical College</t>
  </si>
  <si>
    <t>Gather 4 Him Christian College</t>
  </si>
  <si>
    <t>Gavilan College</t>
  </si>
  <si>
    <t>Geisinger Commonwealth School of Medicine</t>
  </si>
  <si>
    <t>Geisinger-Lewistown Hospital School of Nursing</t>
  </si>
  <si>
    <t>Gem City College</t>
  </si>
  <si>
    <t>Gemini School of Visual Arts &amp; Communication</t>
  </si>
  <si>
    <t>Gemological Institute of America-Carlsbad</t>
  </si>
  <si>
    <t>Gemological Institute of America-New York</t>
  </si>
  <si>
    <t>Genesee Community College</t>
  </si>
  <si>
    <t>Genesee Valley BOCES-Practical Nursing Program</t>
  </si>
  <si>
    <t>Genesis Career College-Cookeville</t>
  </si>
  <si>
    <t>Genesis Career College-Lebanon</t>
  </si>
  <si>
    <t>Geneva College</t>
  </si>
  <si>
    <t>George C Wallace Community College-Dothan</t>
  </si>
  <si>
    <t>George C Wallace State Community College-Hanceville</t>
  </si>
  <si>
    <t>George C Wallace State Community College-Selma</t>
  </si>
  <si>
    <t>George Fox University</t>
  </si>
  <si>
    <t>George Mason University</t>
  </si>
  <si>
    <t>George Stone Technical College</t>
  </si>
  <si>
    <t>George T Baker Aviation Technical College</t>
  </si>
  <si>
    <t>George Washington University</t>
  </si>
  <si>
    <t>Georgetown College</t>
  </si>
  <si>
    <t>Georgetown University</t>
  </si>
  <si>
    <t>Georgia Career Institute</t>
  </si>
  <si>
    <t>Georgia College &amp; State University</t>
  </si>
  <si>
    <t>Georgia Gwinnett College</t>
  </si>
  <si>
    <t>Georgia Highlands College</t>
  </si>
  <si>
    <t>Georgia Institute of Cosmetology</t>
  </si>
  <si>
    <t>Georgia Institute of Technology-Main Campus</t>
  </si>
  <si>
    <t>Georgia Military College</t>
  </si>
  <si>
    <t>Georgia Northwestern Technical College</t>
  </si>
  <si>
    <t>Georgia Piedmont Technical College</t>
  </si>
  <si>
    <t>Georgia Southern University</t>
  </si>
  <si>
    <t>Georgia Southwestern State University</t>
  </si>
  <si>
    <t>Georgia State University</t>
  </si>
  <si>
    <t>Georgia State University-Perimeter College</t>
  </si>
  <si>
    <t>Georgian Court University</t>
  </si>
  <si>
    <t>Gerbers Akron Beauty School</t>
  </si>
  <si>
    <t>Germanna Community College</t>
  </si>
  <si>
    <t>Gettysburg College</t>
  </si>
  <si>
    <t>Glasgow Caledonian New York College</t>
  </si>
  <si>
    <t>Glen Dow Academy of Hair Design</t>
  </si>
  <si>
    <t>Glen Oaks Community College</t>
  </si>
  <si>
    <t>Glendale Career College</t>
  </si>
  <si>
    <t>Glendale Career College-North-West College-Bakersfield</t>
  </si>
  <si>
    <t>Glendale Community College</t>
  </si>
  <si>
    <t>Glenville State University</t>
  </si>
  <si>
    <t>Glitz School of Cosmetology</t>
  </si>
  <si>
    <t>Global Medical &amp; Technical Training Institute</t>
  </si>
  <si>
    <t>Global Tech College</t>
  </si>
  <si>
    <t>Gnomon</t>
  </si>
  <si>
    <t>Goddard College</t>
  </si>
  <si>
    <t>Gods Bible School and College</t>
  </si>
  <si>
    <t>Gogebic Community College</t>
  </si>
  <si>
    <t>Golden Gate University</t>
  </si>
  <si>
    <t>Golden West College</t>
  </si>
  <si>
    <t>Goldey-Beacom College</t>
  </si>
  <si>
    <t>Gonzaga University</t>
  </si>
  <si>
    <t>Good Samaritan College of Nursing and Health Science</t>
  </si>
  <si>
    <t>GoodFellas Barber College</t>
  </si>
  <si>
    <t>Goodwin University</t>
  </si>
  <si>
    <t>Gordon College</t>
  </si>
  <si>
    <t>Gordon Cooper Technology Center</t>
  </si>
  <si>
    <t>Gordon State College</t>
  </si>
  <si>
    <t>Gordon-Conwell Theological Seminary</t>
  </si>
  <si>
    <t>Goshen College</t>
  </si>
  <si>
    <t>Goshen School of Cosmetology</t>
  </si>
  <si>
    <t>Goucher College</t>
  </si>
  <si>
    <t>Gould's Academy</t>
  </si>
  <si>
    <t>Governors State University</t>
  </si>
  <si>
    <t>Grabber School of Hair Design</t>
  </si>
  <si>
    <t>Grace Christian University</t>
  </si>
  <si>
    <t>Grace College and Theological Seminary</t>
  </si>
  <si>
    <t>Grace International Beauty School</t>
  </si>
  <si>
    <t>Grace Mission University</t>
  </si>
  <si>
    <t>Grace School of Theology</t>
  </si>
  <si>
    <t>Graceland University-Lamoni</t>
  </si>
  <si>
    <t>Graduate Theological Union</t>
  </si>
  <si>
    <t>Grady Health System Professional Schools</t>
  </si>
  <si>
    <t>Graham Hospital School of Nursing</t>
  </si>
  <si>
    <t>Grambling State University</t>
  </si>
  <si>
    <t>Grand Canyon University</t>
  </si>
  <si>
    <t>Grand Rapids Community College</t>
  </si>
  <si>
    <t>Grand River Technical School</t>
  </si>
  <si>
    <t>Grand Valley State University</t>
  </si>
  <si>
    <t>Grand View University</t>
  </si>
  <si>
    <t>Granite State College</t>
  </si>
  <si>
    <t>Grantham University</t>
  </si>
  <si>
    <t>Gratz College</t>
  </si>
  <si>
    <t>Grays Harbor College</t>
  </si>
  <si>
    <t>Grayson College</t>
  </si>
  <si>
    <t>Great Basin College</t>
  </si>
  <si>
    <t>Great Bay Community College</t>
  </si>
  <si>
    <t>Great Falls College Montana State University</t>
  </si>
  <si>
    <t>Great Lakes Boat Building School</t>
  </si>
  <si>
    <t>Great Lakes Christian College</t>
  </si>
  <si>
    <t>Great Lakes Institute of Technology</t>
  </si>
  <si>
    <t>Great Northern University</t>
  </si>
  <si>
    <t>Great Oaks Career Campuses</t>
  </si>
  <si>
    <t>Great Plains Technology Center</t>
  </si>
  <si>
    <t>Greater Altoona Career &amp; Technology Center</t>
  </si>
  <si>
    <t>Greater Johnstown Career and Technology Center</t>
  </si>
  <si>
    <t>Greater Lowell Technical School</t>
  </si>
  <si>
    <t>Green Country Technology Center</t>
  </si>
  <si>
    <t>Green River College</t>
  </si>
  <si>
    <t>Greene County Career and Technology Center</t>
  </si>
  <si>
    <t>Greene County Career Center</t>
  </si>
  <si>
    <t>Greenfield Community College</t>
  </si>
  <si>
    <t>Greensboro College</t>
  </si>
  <si>
    <t>Greenville Technical College</t>
  </si>
  <si>
    <t>Greenville University</t>
  </si>
  <si>
    <t>Grinnell College</t>
  </si>
  <si>
    <t>Grossmont College</t>
  </si>
  <si>
    <t>Grossmont-Cuyamaca Community College District</t>
  </si>
  <si>
    <t>Grove City College</t>
  </si>
  <si>
    <t>Guam Community College</t>
  </si>
  <si>
    <t>Guilford College</t>
  </si>
  <si>
    <t>Guilford Technical Community College</t>
  </si>
  <si>
    <t>Gulf Coast State College</t>
  </si>
  <si>
    <t>Gupton Jones College of Funeral Service</t>
  </si>
  <si>
    <t>Gurnick Academy of Medical Arts</t>
  </si>
  <si>
    <t>Gustavus Adolphus College</t>
  </si>
  <si>
    <t>Guy's Shreveport Academy of Cosmetology Inc</t>
  </si>
  <si>
    <t>Gwinnett College</t>
  </si>
  <si>
    <t>Gwinnett College-Lilburn</t>
  </si>
  <si>
    <t>Gwinnett College-Marietta Campus</t>
  </si>
  <si>
    <t>Gwinnett College-Sandy Springs</t>
  </si>
  <si>
    <t>Gwinnett Institute</t>
  </si>
  <si>
    <t>Gwinnett Technical College</t>
  </si>
  <si>
    <t>Gwynedd Mercy University</t>
  </si>
  <si>
    <t>H Councill Trenholm State Community College</t>
  </si>
  <si>
    <t>Hacienda La Puente Adult Education</t>
  </si>
  <si>
    <t>Hackensack Meridian School of Medicine</t>
  </si>
  <si>
    <t>Hagerstown Community College</t>
  </si>
  <si>
    <t>Hair Academy</t>
  </si>
  <si>
    <t>Hair Academy II</t>
  </si>
  <si>
    <t>Hair Academy School of Barbering &amp; Beauty</t>
  </si>
  <si>
    <t>Hair Arts Institute</t>
  </si>
  <si>
    <t>Hair Expressions Academy</t>
  </si>
  <si>
    <t>Hair Professionals Career College</t>
  </si>
  <si>
    <t>Hair Professionals School of Cosmetology</t>
  </si>
  <si>
    <t>Hairmasters Institute of Cosmetology</t>
  </si>
  <si>
    <t>Halifax Community College</t>
  </si>
  <si>
    <t>Hallmark University</t>
  </si>
  <si>
    <t>Hamilton College</t>
  </si>
  <si>
    <t>Hamline University</t>
  </si>
  <si>
    <t>Hampden-Sydney College</t>
  </si>
  <si>
    <t>Hampshire College</t>
  </si>
  <si>
    <t>Hampton University</t>
  </si>
  <si>
    <t>Hamrick School</t>
  </si>
  <si>
    <t>Hands on Therapy</t>
  </si>
  <si>
    <t>Hannah E Mullins School of Practical Nursing</t>
  </si>
  <si>
    <t>Hannibal-LaGrange University</t>
  </si>
  <si>
    <t>Hanover College</t>
  </si>
  <si>
    <t>Harcum College</t>
  </si>
  <si>
    <t>Harding University</t>
  </si>
  <si>
    <t>Hardin-Simmons University</t>
  </si>
  <si>
    <t>Harford Community College</t>
  </si>
  <si>
    <t>Harmony Health Care Institute</t>
  </si>
  <si>
    <t>Harrisburg Area Community College</t>
  </si>
  <si>
    <t>Harrisburg University of Science and Technology</t>
  </si>
  <si>
    <t>Harris-Stowe State University</t>
  </si>
  <si>
    <t>Hartford Seminary</t>
  </si>
  <si>
    <t>Hartnell College</t>
  </si>
  <si>
    <t>Hartwick College</t>
  </si>
  <si>
    <t>Harvard University</t>
  </si>
  <si>
    <t>Harvey Mudd College</t>
  </si>
  <si>
    <t>Haskell Indian Nations University</t>
  </si>
  <si>
    <t>Hastings Beauty School</t>
  </si>
  <si>
    <t>Hastings College</t>
  </si>
  <si>
    <t>Hatfield's Mississippi College of Beauty Culture</t>
  </si>
  <si>
    <t>Haven University</t>
  </si>
  <si>
    <t>Haverford College</t>
  </si>
  <si>
    <t>Hawaii Community College</t>
  </si>
  <si>
    <t>Hawaii Institute of Hair Design</t>
  </si>
  <si>
    <t>Hawaii Medical College</t>
  </si>
  <si>
    <t>Hawaii Pacific University</t>
  </si>
  <si>
    <t>Hawkeye Community College</t>
  </si>
  <si>
    <t>Hays Academy of Hair Design</t>
  </si>
  <si>
    <t>Haywood Community College</t>
  </si>
  <si>
    <t>Hazard Community and Technical College</t>
  </si>
  <si>
    <t>Hazelden Betty Ford Graduate School of Addiction Studies</t>
  </si>
  <si>
    <t>Hazleton Area Career Center</t>
  </si>
  <si>
    <t>HCI College</t>
  </si>
  <si>
    <t>HDS Truck Driving Institute</t>
  </si>
  <si>
    <t>Headmasters School of Hair Design</t>
  </si>
  <si>
    <t>Healing Arts Center</t>
  </si>
  <si>
    <t>Healing Hands School of Holistic Health</t>
  </si>
  <si>
    <t>Healing Mountain Massage School</t>
  </si>
  <si>
    <t>Health And Style Institute</t>
  </si>
  <si>
    <t>Health and Technology Training Institute</t>
  </si>
  <si>
    <t>Healthcare Career College</t>
  </si>
  <si>
    <t>Healthcare Training Institute</t>
  </si>
  <si>
    <t>Health-Tech Institute of Memphis</t>
  </si>
  <si>
    <t>Heartland Community College</t>
  </si>
  <si>
    <t>Hebrew College</t>
  </si>
  <si>
    <t>Hebrew Theological College</t>
  </si>
  <si>
    <t>Hebrew Union College-Jewish Institute of Religion</t>
  </si>
  <si>
    <t>Heidelberg University</t>
  </si>
  <si>
    <t>Helena College University of Montana</t>
  </si>
  <si>
    <t>Helene Fuld College of Nursing</t>
  </si>
  <si>
    <t>Hellenic College-Holy Cross Greek Orthodox School of Theology</t>
  </si>
  <si>
    <t>Helms College</t>
  </si>
  <si>
    <t>Henderson Community College</t>
  </si>
  <si>
    <t>Henderson State University</t>
  </si>
  <si>
    <t>Hendrix College</t>
  </si>
  <si>
    <t>Hennepin Technical College</t>
  </si>
  <si>
    <t>Henrico County-Saint Marys Hospital School of Practical Nursing</t>
  </si>
  <si>
    <t>Henry Ford College</t>
  </si>
  <si>
    <t>Heritage Bible College</t>
  </si>
  <si>
    <t>Heritage Christian University</t>
  </si>
  <si>
    <t>Heritage University</t>
  </si>
  <si>
    <t>Heritage Valley Kennedy School of Nursing</t>
  </si>
  <si>
    <t>Herkimer County BOCES-Practical Nursing Program</t>
  </si>
  <si>
    <t>Herkimer County Community College</t>
  </si>
  <si>
    <t>Herzing University-Akron</t>
  </si>
  <si>
    <t>Herzing University-Atlanta</t>
  </si>
  <si>
    <t>Herzing University-Birmingham</t>
  </si>
  <si>
    <t>Herzing University-Brookfield</t>
  </si>
  <si>
    <t>Herzing University-Kenosha</t>
  </si>
  <si>
    <t>Herzing University-Madison</t>
  </si>
  <si>
    <t>Herzing University-Minneapolis</t>
  </si>
  <si>
    <t>Herzing University-New Orleans</t>
  </si>
  <si>
    <t>Herzing University-Orlando</t>
  </si>
  <si>
    <t>Herzing University-Tampa</t>
  </si>
  <si>
    <t>Hesston College</t>
  </si>
  <si>
    <t>Hibbing Community College</t>
  </si>
  <si>
    <t>High Desert Medical College</t>
  </si>
  <si>
    <t>High Plains Technology Center</t>
  </si>
  <si>
    <t>High Point University</t>
  </si>
  <si>
    <t>High Tech High Graduate School of Education</t>
  </si>
  <si>
    <t>Highland Community College</t>
  </si>
  <si>
    <t>Highlands College of Montana Tech</t>
  </si>
  <si>
    <t>Highlights Beauty Schools</t>
  </si>
  <si>
    <t>Highline College</t>
  </si>
  <si>
    <t>Hilbert College</t>
  </si>
  <si>
    <t>Hill College</t>
  </si>
  <si>
    <t>Hillsborough Community College</t>
  </si>
  <si>
    <t>Hillsdale Beauty College</t>
  </si>
  <si>
    <t>Hillsdale College</t>
  </si>
  <si>
    <t>Hilltop Beauty School</t>
  </si>
  <si>
    <t>Hinds Community College</t>
  </si>
  <si>
    <t>Hinton Barber and Beauty College</t>
  </si>
  <si>
    <t>Hiram College</t>
  </si>
  <si>
    <t>Hobart Institute of Welding Technology</t>
  </si>
  <si>
    <t>Hobart William Smith Colleges</t>
  </si>
  <si>
    <t>Hobe Sound Bible College</t>
  </si>
  <si>
    <t>Hocking College</t>
  </si>
  <si>
    <t>Hodges University</t>
  </si>
  <si>
    <t>Hofstra University</t>
  </si>
  <si>
    <t>Hogan Institute of Cosmetology and Esthetics</t>
  </si>
  <si>
    <t>Hohokus School of Trade and Technical Sciences</t>
  </si>
  <si>
    <t>Holistic Massage Training Institute</t>
  </si>
  <si>
    <t>Hollins University</t>
  </si>
  <si>
    <t>Hollywood Cultural College</t>
  </si>
  <si>
    <t>Hollywood Institute</t>
  </si>
  <si>
    <t>Hollywood Institute of Beauty Careers</t>
  </si>
  <si>
    <t>Hollywood Institute of Beauty Careers-Casselberry</t>
  </si>
  <si>
    <t>Hollywood Institute of Beauty Careers-West Palm Beach</t>
  </si>
  <si>
    <t>Holmes Community College</t>
  </si>
  <si>
    <t>Holy Apostles College and Seminary</t>
  </si>
  <si>
    <t>Holy Cross College</t>
  </si>
  <si>
    <t>Holy Family University</t>
  </si>
  <si>
    <t>Holy Name Medical Center-Sister Claire Tynan School of Nursing</t>
  </si>
  <si>
    <t>Holy Names University</t>
  </si>
  <si>
    <t>Holyoke Community College</t>
  </si>
  <si>
    <t>Homestead Schools</t>
  </si>
  <si>
    <t>Hondros College of Nursing</t>
  </si>
  <si>
    <t>Honolulu Community College</t>
  </si>
  <si>
    <t>Hood College</t>
  </si>
  <si>
    <t>Hood Theological Seminary</t>
  </si>
  <si>
    <t>Hope College</t>
  </si>
  <si>
    <t>Hope College of Arts and Sciences</t>
  </si>
  <si>
    <t>Hope International University</t>
  </si>
  <si>
    <t>Hopkinsville Community College</t>
  </si>
  <si>
    <t>Horizon University</t>
  </si>
  <si>
    <t>Horry-Georgetown Technical College</t>
  </si>
  <si>
    <t>Hoss Lee Academy</t>
  </si>
  <si>
    <t>Hot Springs Beauty College</t>
  </si>
  <si>
    <t>Houghton College</t>
  </si>
  <si>
    <t>Housatonic Community College</t>
  </si>
  <si>
    <t>House of Heavilin Beauty College-Blue Springs</t>
  </si>
  <si>
    <t>House of Heavilin Beauty College-Kansas City</t>
  </si>
  <si>
    <t>House of Heavilin Beauty College-Raymore</t>
  </si>
  <si>
    <t>Houston Baptist University</t>
  </si>
  <si>
    <t>Houston Barber School</t>
  </si>
  <si>
    <t>Houston Community College</t>
  </si>
  <si>
    <t>Houston Graduate School of Theology</t>
  </si>
  <si>
    <t>Houston International College Cardiotech Ultrasound School</t>
  </si>
  <si>
    <t>Houston School of Carpentry</t>
  </si>
  <si>
    <t>Houston Training School-Main Campus</t>
  </si>
  <si>
    <t>Houston Training Schools-Gessner</t>
  </si>
  <si>
    <t>Howard College</t>
  </si>
  <si>
    <t>Howard Community College</t>
  </si>
  <si>
    <t>Howard Payne University</t>
  </si>
  <si>
    <t>Howard University</t>
  </si>
  <si>
    <t>Hudson County Community College</t>
  </si>
  <si>
    <t>Hudson Valley Community College</t>
  </si>
  <si>
    <t>Huertas College</t>
  </si>
  <si>
    <t>Hult International Business School</t>
  </si>
  <si>
    <t>Humacao Community College</t>
  </si>
  <si>
    <t>Humphreys University-Stockton and Modesto Campuses</t>
  </si>
  <si>
    <t>Hunter Business School</t>
  </si>
  <si>
    <t>Huntingdon College</t>
  </si>
  <si>
    <t>Huntingdon County Career and Technology Center</t>
  </si>
  <si>
    <t>Huntington Junior College</t>
  </si>
  <si>
    <t>Huntington School of Beauty Culture</t>
  </si>
  <si>
    <t>Huntington University</t>
  </si>
  <si>
    <t>Huntington University of Health Sciences</t>
  </si>
  <si>
    <t>Huntsville Bible College</t>
  </si>
  <si>
    <t>Hussian College-Daymar College Bowling Green</t>
  </si>
  <si>
    <t>Hussian College-Daymar College Clarksville</t>
  </si>
  <si>
    <t>Hussian College-Daymar College Columbus</t>
  </si>
  <si>
    <t>Hussian College-Daymar College Murfreesboro</t>
  </si>
  <si>
    <t>Hussian College-Daymar College Nashville</t>
  </si>
  <si>
    <t>Hussian College-Los Angeles</t>
  </si>
  <si>
    <t>Hussian College-Philadelphia</t>
  </si>
  <si>
    <t>Husson University</t>
  </si>
  <si>
    <t>Huston-Tillotson University</t>
  </si>
  <si>
    <t>Hutchinson Community College</t>
  </si>
  <si>
    <t>HVAC Technical Institute</t>
  </si>
  <si>
    <t>Hypnosis Motivation Institute</t>
  </si>
  <si>
    <t>IBMC College</t>
  </si>
  <si>
    <t>IBS School of Cosmetology and Massage</t>
  </si>
  <si>
    <t>Icahn School of Medicine at Mount Sinai</t>
  </si>
  <si>
    <t>ICOHS College</t>
  </si>
  <si>
    <t>ICPR Junior College</t>
  </si>
  <si>
    <t>ICPR Junior College-Arecibo</t>
  </si>
  <si>
    <t>ICPR Junior College-Mayaguez</t>
  </si>
  <si>
    <t>Idaho College of Osteopathic Medicine</t>
  </si>
  <si>
    <t>Idaho State University</t>
  </si>
  <si>
    <t>Ideal Beauty Academy</t>
  </si>
  <si>
    <t>IGlobal University</t>
  </si>
  <si>
    <t>Iliff School of Theology</t>
  </si>
  <si>
    <t>Ilisagvik College</t>
  </si>
  <si>
    <t>Illinois Central College</t>
  </si>
  <si>
    <t>Illinois College</t>
  </si>
  <si>
    <t>Illinois College of Optometry</t>
  </si>
  <si>
    <t>Illinois Eastern Community College-System Office</t>
  </si>
  <si>
    <t>Illinois Institute of Technology</t>
  </si>
  <si>
    <t>Illinois Media School</t>
  </si>
  <si>
    <t>Illinois Media School-Chicago Campus</t>
  </si>
  <si>
    <t>Illinois State University</t>
  </si>
  <si>
    <t>Illinois Valley Community College</t>
  </si>
  <si>
    <t>Illinois Wesleyan University</t>
  </si>
  <si>
    <t>Image Maker Beauty Institute</t>
  </si>
  <si>
    <t>Immaculata University</t>
  </si>
  <si>
    <t>Immokalee Technical College</t>
  </si>
  <si>
    <t>Imperial Valley College</t>
  </si>
  <si>
    <t>Independence Community College</t>
  </si>
  <si>
    <t>Independence University</t>
  </si>
  <si>
    <t>Independent Training &amp; Apprenticeship Program</t>
  </si>
  <si>
    <t>Indian Bible College</t>
  </si>
  <si>
    <t>Indian Capital Technology Center-Muskogee</t>
  </si>
  <si>
    <t>Indian Hills Community College</t>
  </si>
  <si>
    <t>Indian River State College</t>
  </si>
  <si>
    <t>Indiana County Technology Center</t>
  </si>
  <si>
    <t>Indiana Institute of Technology</t>
  </si>
  <si>
    <t>Indiana Institute of Technology-College of Professional Studies</t>
  </si>
  <si>
    <t>Indiana State University</t>
  </si>
  <si>
    <t>Indiana University of Pennsylvania-Main Campus</t>
  </si>
  <si>
    <t>Indiana University-Bloomington</t>
  </si>
  <si>
    <t>Indiana University-East</t>
  </si>
  <si>
    <t>Indiana University-Kokomo</t>
  </si>
  <si>
    <t>Indiana University-Northwest</t>
  </si>
  <si>
    <t>Indiana University-Purdue University-Indianapolis</t>
  </si>
  <si>
    <t>Indiana University-South Bend</t>
  </si>
  <si>
    <t>Indiana University-Southeast</t>
  </si>
  <si>
    <t>Indiana Wellness College</t>
  </si>
  <si>
    <t>Indiana Wesleyan University-Marion</t>
  </si>
  <si>
    <t>Indiana Wesleyan University-National &amp; Global</t>
  </si>
  <si>
    <t>Industrial Management Training Institute</t>
  </si>
  <si>
    <t>Industrial Technical College</t>
  </si>
  <si>
    <t>Infinity College</t>
  </si>
  <si>
    <t>Inner State Beauty School</t>
  </si>
  <si>
    <t>Innovate Salon Academy</t>
  </si>
  <si>
    <t>Innovations Design Academy</t>
  </si>
  <si>
    <t>Installer Institute</t>
  </si>
  <si>
    <t>Institucion Chaviano de Mayaguez</t>
  </si>
  <si>
    <t>Institute for Business and Technology</t>
  </si>
  <si>
    <t>Institute for Clinical Social Work</t>
  </si>
  <si>
    <t>Institute for Doctoral Studies in the Visual Arts</t>
  </si>
  <si>
    <t>Institute for Therapeutic Massage</t>
  </si>
  <si>
    <t>Institute of Advanced Medical Esthetics</t>
  </si>
  <si>
    <t>Institute of Allied Healthcare</t>
  </si>
  <si>
    <t>Institute of American Indian and Alaska Native Culture and Arts Development</t>
  </si>
  <si>
    <t>Institute of Beauty Careers</t>
  </si>
  <si>
    <t>Institute of Buddhist Studies</t>
  </si>
  <si>
    <t>Institute of Clinical Acupuncture &amp; Oriental Med</t>
  </si>
  <si>
    <t>Institute of Culinary Education</t>
  </si>
  <si>
    <t>Institute of Health &amp; Technology</t>
  </si>
  <si>
    <t>Institute of Health Sciences</t>
  </si>
  <si>
    <t>Institute of Lutheran Theology</t>
  </si>
  <si>
    <t>Institute of Medical Careers</t>
  </si>
  <si>
    <t>Institute of Medical Ultrasound</t>
  </si>
  <si>
    <t>Institute of Production and Recording</t>
  </si>
  <si>
    <t>Institute of Professional Careers</t>
  </si>
  <si>
    <t>Institute of Taoist Education and Acupuncture</t>
  </si>
  <si>
    <t>Institute of Technology</t>
  </si>
  <si>
    <t>Institute of World Politics</t>
  </si>
  <si>
    <t>Instituto Educativo Premier</t>
  </si>
  <si>
    <t>Instituto Tecnologico de Puerto Rico-Recinto de Guayama</t>
  </si>
  <si>
    <t>Instituto Tecnologico de Puerto Rico-Recinto de Manati</t>
  </si>
  <si>
    <t>Instituto Tecnologico de Puerto Rico-Recinto de Ponce</t>
  </si>
  <si>
    <t>Instituto Tecnologico de Puerto Rico-Recinto de San Juan</t>
  </si>
  <si>
    <t>Integrity College of Health</t>
  </si>
  <si>
    <t>Intellitec College-Colorado Springs</t>
  </si>
  <si>
    <t>Intellitec College-Grand Junction</t>
  </si>
  <si>
    <t>Inter American University of Puerto Rico-Aguadilla</t>
  </si>
  <si>
    <t>Inter American University of Puerto Rico-Arecibo</t>
  </si>
  <si>
    <t>Inter American University of Puerto Rico-Barranquitas</t>
  </si>
  <si>
    <t>Inter American University of Puerto Rico-Bayamon</t>
  </si>
  <si>
    <t>Inter American University of Puerto Rico-Central Office</t>
  </si>
  <si>
    <t>Inter American University of Puerto Rico-Fajardo</t>
  </si>
  <si>
    <t>Inter American University of Puerto Rico-Guayama</t>
  </si>
  <si>
    <t>Inter American University of Puerto Rico-Metro</t>
  </si>
  <si>
    <t>Inter American University of Puerto Rico-Ponce</t>
  </si>
  <si>
    <t>Inter American University of Puerto Rico-San German</t>
  </si>
  <si>
    <t>Inter American University of Puerto Rico-School of Law</t>
  </si>
  <si>
    <t>Inter American University of Puerto Rico-School of Optometry</t>
  </si>
  <si>
    <t>Interactive College of Technology</t>
  </si>
  <si>
    <t>Interactive College of Technology-Chamblee</t>
  </si>
  <si>
    <t>Interactive College of Technology-Gainesville</t>
  </si>
  <si>
    <t>Interactive College of Technology-Morrow</t>
  </si>
  <si>
    <t>Interactive College of Technology-Newport</t>
  </si>
  <si>
    <t>InterAmerican Technical Institute</t>
  </si>
  <si>
    <t>InterCoast Colleges-Fairfield</t>
  </si>
  <si>
    <t>InterCoast Colleges-Rancho Cordova</t>
  </si>
  <si>
    <t>InterCoast Colleges-Riverside</t>
  </si>
  <si>
    <t>InterCoast Colleges-Santa Ana</t>
  </si>
  <si>
    <t>InterCoast Colleges-West Covina</t>
  </si>
  <si>
    <t>Interdenominational Theological Center</t>
  </si>
  <si>
    <t>Interior Designers Institute</t>
  </si>
  <si>
    <t>International Academy</t>
  </si>
  <si>
    <t>International Academy of Style</t>
  </si>
  <si>
    <t>International Air and Hospitality Academy</t>
  </si>
  <si>
    <t>International Baptist College and Seminary</t>
  </si>
  <si>
    <t>International Barber College</t>
  </si>
  <si>
    <t>International Beauty College</t>
  </si>
  <si>
    <t>International Beauty Education Center</t>
  </si>
  <si>
    <t>International Beauty School 4</t>
  </si>
  <si>
    <t>International Business College-Indianapolis</t>
  </si>
  <si>
    <t>International College of Beauty Arts &amp; Sciences</t>
  </si>
  <si>
    <t>International College of Broadcasting</t>
  </si>
  <si>
    <t>International College of Cosmetology</t>
  </si>
  <si>
    <t>International Culinary Arts and Sciences Institute</t>
  </si>
  <si>
    <t>International Diving Institute</t>
  </si>
  <si>
    <t>International Institute for Restorative Practices</t>
  </si>
  <si>
    <t>International Institute of Cosmetology</t>
  </si>
  <si>
    <t>International Salon and Spa Academy</t>
  </si>
  <si>
    <t>International School of Beauty Inc</t>
  </si>
  <si>
    <t>International School of Cosmetology</t>
  </si>
  <si>
    <t>International School of Skin Nailcare &amp; Massage Therapy</t>
  </si>
  <si>
    <t>International Technical College</t>
  </si>
  <si>
    <t>International Technological University</t>
  </si>
  <si>
    <t>International Training Careers</t>
  </si>
  <si>
    <t>Inver Hills Community College</t>
  </si>
  <si>
    <t>Iona College</t>
  </si>
  <si>
    <t>Iowa Central Community College</t>
  </si>
  <si>
    <t>Iowa Lakes Community College</t>
  </si>
  <si>
    <t>Iowa School of Beauty-Des Moines</t>
  </si>
  <si>
    <t>Iowa School of Beauty-Ottumwa</t>
  </si>
  <si>
    <t>Iowa School of Beauty-Sioux City</t>
  </si>
  <si>
    <t>Iowa State University</t>
  </si>
  <si>
    <t>Iowa Wesleyan University</t>
  </si>
  <si>
    <t>Iowa Western Community College</t>
  </si>
  <si>
    <t>Irell &amp; Manella Graduate School of Biological Sciences at City of Hope</t>
  </si>
  <si>
    <t>Irene's Myomassology Institute</t>
  </si>
  <si>
    <t>Irvine Valley College</t>
  </si>
  <si>
    <t>Isabella Graham Hart School of Practical Nursing</t>
  </si>
  <si>
    <t>Island Drafting and Technical Institute</t>
  </si>
  <si>
    <t>Isothermal Community College</t>
  </si>
  <si>
    <t>Itasca Community College</t>
  </si>
  <si>
    <t>Itawamba Community College</t>
  </si>
  <si>
    <t>Ithaca College</t>
  </si>
  <si>
    <t>ITI Technical College</t>
  </si>
  <si>
    <t>IVAEM College</t>
  </si>
  <si>
    <t>Ivy Tech Community College</t>
  </si>
  <si>
    <t>IYRS School of Technology &amp; Trades</t>
  </si>
  <si>
    <t>J D Academy of Salon and Spa</t>
  </si>
  <si>
    <t>J F Ingram State Technical College</t>
  </si>
  <si>
    <t>J Michael Harrold Beauty Academy</t>
  </si>
  <si>
    <t>J Sargeant Reynolds Community College</t>
  </si>
  <si>
    <t>J. F. Drake State Community and Technical College</t>
  </si>
  <si>
    <t>Jackson College</t>
  </si>
  <si>
    <t>Jackson State Community College</t>
  </si>
  <si>
    <t>Jackson State University</t>
  </si>
  <si>
    <t>Jacksonville College-Main Campus</t>
  </si>
  <si>
    <t>Jacksonville State University</t>
  </si>
  <si>
    <t>Jacksonville University</t>
  </si>
  <si>
    <t>James A. Rhodes State College</t>
  </si>
  <si>
    <t>James Madison University</t>
  </si>
  <si>
    <t>James Rumsey Technical Institute</t>
  </si>
  <si>
    <t>James Sprunt Community College</t>
  </si>
  <si>
    <t>Jamestown Business College</t>
  </si>
  <si>
    <t>Jamestown Community College</t>
  </si>
  <si>
    <t>Jarvis Christian University</t>
  </si>
  <si>
    <t>Jay's Technical Institute</t>
  </si>
  <si>
    <t>JB's Hair Design and Barber College</t>
  </si>
  <si>
    <t>Jean Madeline Aveda Institute</t>
  </si>
  <si>
    <t>Jefferson College</t>
  </si>
  <si>
    <t>Jefferson Community and Technical College</t>
  </si>
  <si>
    <t>Jefferson Community College</t>
  </si>
  <si>
    <t>Jefferson County Dubois Area Vocational Technical Practical Nursing Program</t>
  </si>
  <si>
    <t>Jefferson Lewis BOCES-Practical Nursing Program</t>
  </si>
  <si>
    <t>Jefferson Regional Medical Center School of Nursing</t>
  </si>
  <si>
    <t>Jefferson State Community College</t>
  </si>
  <si>
    <t>Jenks Beauty College</t>
  </si>
  <si>
    <t>Jenny Lea Academy of Cosmetology</t>
  </si>
  <si>
    <t>Jersey College</t>
  </si>
  <si>
    <t>Jewish Theological Seminary of America</t>
  </si>
  <si>
    <t>JFK Muhlenberg Harold B. and Dorothy A. Snyder Schools</t>
  </si>
  <si>
    <t>Jna Institute of Culinary Arts</t>
  </si>
  <si>
    <t>Joe Kubert School of Cartoon and Graphic Art</t>
  </si>
  <si>
    <t>Joffrey Ballet School</t>
  </si>
  <si>
    <t>John A Gupton College</t>
  </si>
  <si>
    <t>John A Logan College</t>
  </si>
  <si>
    <t>John Amico School of Hair Design</t>
  </si>
  <si>
    <t>John Brown University</t>
  </si>
  <si>
    <t>John C Calhoun State Community College</t>
  </si>
  <si>
    <t>John Carroll University</t>
  </si>
  <si>
    <t>John D Rockefeller IV Career Center</t>
  </si>
  <si>
    <t>John Jay Beauty College</t>
  </si>
  <si>
    <t>John Paolo's Xtreme Beauty Institute-Goldwell Product Artistry</t>
  </si>
  <si>
    <t>John Patrick University of Health and Applied Sciences</t>
  </si>
  <si>
    <t>John Paul the Great Catholic University</t>
  </si>
  <si>
    <t>John Wesley International Barber and Beauty College</t>
  </si>
  <si>
    <t>John Wood Community College</t>
  </si>
  <si>
    <t>Johnny Matthew's Hairdressing Training School</t>
  </si>
  <si>
    <t>Johns Hopkins University</t>
  </si>
  <si>
    <t>Johnson &amp; Wales University-Charlotte</t>
  </si>
  <si>
    <t>Johnson &amp; Wales University-Denver</t>
  </si>
  <si>
    <t>Johnson &amp; Wales University-North Miami</t>
  </si>
  <si>
    <t>Johnson &amp; Wales University-Online</t>
  </si>
  <si>
    <t>Johnson &amp; Wales University-Providence</t>
  </si>
  <si>
    <t>Johnson C Smith University</t>
  </si>
  <si>
    <t>Johnson College</t>
  </si>
  <si>
    <t>Johnson County Community College</t>
  </si>
  <si>
    <t>Johnson University</t>
  </si>
  <si>
    <t>Johnson University Florida</t>
  </si>
  <si>
    <t>Johnston Community College</t>
  </si>
  <si>
    <t>Jolie Hair Academy</t>
  </si>
  <si>
    <t>Jolie Hair and Beauty Academy-Hazleton</t>
  </si>
  <si>
    <t>Jolie Hair and Beauty Academy-Ludlow</t>
  </si>
  <si>
    <t>Jolie Hair and Beauty Academy-Northfield</t>
  </si>
  <si>
    <t>Jolie Hair and Beauty Academy-Wilkes-Barre</t>
  </si>
  <si>
    <t>Jolie Health &amp; Beauty Academy-Cherry Hill</t>
  </si>
  <si>
    <t>Jolie Health and Beauty Academy-Turnersville</t>
  </si>
  <si>
    <t>Joliet Junior College</t>
  </si>
  <si>
    <t>Jones County Junior College</t>
  </si>
  <si>
    <t>Jones Technical Institute</t>
  </si>
  <si>
    <t>Jose Maria Vargas University</t>
  </si>
  <si>
    <t>Josef's School of Hair, Skin &amp; Body-Fargo</t>
  </si>
  <si>
    <t>Josef's School of Hair, Skin &amp; Body-Grand Forks</t>
  </si>
  <si>
    <t>Joseph F McCloskey School of Nursing</t>
  </si>
  <si>
    <t>Joseph's College Cosmetology</t>
  </si>
  <si>
    <t>J's Barber College</t>
  </si>
  <si>
    <t>Judson College</t>
  </si>
  <si>
    <t>Judson University</t>
  </si>
  <si>
    <t>Jung Tao School of Classical Chinese Medicine</t>
  </si>
  <si>
    <t>Juniata College</t>
  </si>
  <si>
    <t>Jupiter Beauty Academy</t>
  </si>
  <si>
    <t>K &amp; G 5 Star Barber College</t>
  </si>
  <si>
    <t>Kaizen Beauty Academy</t>
  </si>
  <si>
    <t>Kalamazoo College</t>
  </si>
  <si>
    <t>Kalamazoo Valley Community College</t>
  </si>
  <si>
    <t>Kankakee Community College</t>
  </si>
  <si>
    <t>Kansas Christian College</t>
  </si>
  <si>
    <t>Kansas City Art Institute</t>
  </si>
  <si>
    <t>Kansas City Kansas Community College</t>
  </si>
  <si>
    <t>Kansas City University</t>
  </si>
  <si>
    <t>Kansas State University</t>
  </si>
  <si>
    <t>Kansas Wesleyan University</t>
  </si>
  <si>
    <t>Kapiolani Community College</t>
  </si>
  <si>
    <t>Kaskaskia College</t>
  </si>
  <si>
    <t>Kauai Community College</t>
  </si>
  <si>
    <t>KC Beauty Academy</t>
  </si>
  <si>
    <t>KCK Beauty &amp; Barber Academy</t>
  </si>
  <si>
    <t>KC's School of Hair Design</t>
  </si>
  <si>
    <t>KD Conservatory College of Film and Dramatic Arts</t>
  </si>
  <si>
    <t>Kean University</t>
  </si>
  <si>
    <t>Keck Graduate Institute</t>
  </si>
  <si>
    <t>Keene Beauty Academy</t>
  </si>
  <si>
    <t>Keene State College</t>
  </si>
  <si>
    <t>Kehilath Yakov Rabbinical Seminary</t>
  </si>
  <si>
    <t>Keiser University-Ft Lauderdale</t>
  </si>
  <si>
    <t>Kellogg Community College</t>
  </si>
  <si>
    <t>Kennebec Valley Community College</t>
  </si>
  <si>
    <t>Kennesaw State University</t>
  </si>
  <si>
    <t>Kenneth Shuler School of Cosmetology and Nails-Columbia</t>
  </si>
  <si>
    <t>Kenneth Shuler School of Cosmetology-Columbia</t>
  </si>
  <si>
    <t>Kenneth Shuler School of Cosmetology-Florence</t>
  </si>
  <si>
    <t>Kenneth Shuler School of Cosmetology-Goose Creek</t>
  </si>
  <si>
    <t>Kenneth Shuler School of Cosmetology-Greenville</t>
  </si>
  <si>
    <t>Kenneth Shuler School of Cosmetology-North Augusta</t>
  </si>
  <si>
    <t>Kenneth Shuler School of Cosmetology-Rock Hill</t>
  </si>
  <si>
    <t>Kenneth Shuler School of Cosmetology-Spartanburg</t>
  </si>
  <si>
    <t>Kenny's Academy of Barbering</t>
  </si>
  <si>
    <t>Kenny's Beauty Academy</t>
  </si>
  <si>
    <t>Kenrick Glennon Seminary</t>
  </si>
  <si>
    <t>Kent State University at Ashtabula</t>
  </si>
  <si>
    <t>Kent State University at East Liverpool</t>
  </si>
  <si>
    <t>Kent State University at Geauga</t>
  </si>
  <si>
    <t>Kent State University at Kent</t>
  </si>
  <si>
    <t>Kent State University at Salem</t>
  </si>
  <si>
    <t>Kent State University at Stark</t>
  </si>
  <si>
    <t>Kent State University at Trumbull</t>
  </si>
  <si>
    <t>Kent State University at Tuscarawas</t>
  </si>
  <si>
    <t>Kentucky Christian University</t>
  </si>
  <si>
    <t>Kentucky Community and Technical College System</t>
  </si>
  <si>
    <t>Kentucky Horseshoeing School</t>
  </si>
  <si>
    <t>Kentucky Mountain Bible College</t>
  </si>
  <si>
    <t>Kentucky State University</t>
  </si>
  <si>
    <t>Kentucky Wesleyan College</t>
  </si>
  <si>
    <t>Kenyon College</t>
  </si>
  <si>
    <t>Keser Torah-Mayan Hatalmud</t>
  </si>
  <si>
    <t>Kettering College</t>
  </si>
  <si>
    <t>Kettering University</t>
  </si>
  <si>
    <t>Keuka College</t>
  </si>
  <si>
    <t>Keune Academy by 124</t>
  </si>
  <si>
    <t>Keweenaw Bay Ojibwa Community College</t>
  </si>
  <si>
    <t>Key College</t>
  </si>
  <si>
    <t>Keystone College</t>
  </si>
  <si>
    <t>Kiamichi Technology Center-McAlester</t>
  </si>
  <si>
    <t>Kilgore College</t>
  </si>
  <si>
    <t>King University</t>
  </si>
  <si>
    <t>King's College</t>
  </si>
  <si>
    <t>Kirksville Area Technical Center</t>
  </si>
  <si>
    <t>Kirkwood Community College</t>
  </si>
  <si>
    <t>Kirtland Community College</t>
  </si>
  <si>
    <t>Kishwaukee College</t>
  </si>
  <si>
    <t>Klamath Community College</t>
  </si>
  <si>
    <t>Knox College</t>
  </si>
  <si>
    <t>Knox County Career Center</t>
  </si>
  <si>
    <t>Kor Beauty Academy</t>
  </si>
  <si>
    <t>Kutztown University of Pennsylvania</t>
  </si>
  <si>
    <t>Kuyper College</t>
  </si>
  <si>
    <t>L Makeup Institute</t>
  </si>
  <si>
    <t>L3Harris Flight Academy</t>
  </si>
  <si>
    <t>La Belle Beauty Academy</t>
  </si>
  <si>
    <t>La Belle Beauty School</t>
  </si>
  <si>
    <t>La James College of Hairstyling and Cosmetology</t>
  </si>
  <si>
    <t>La James International College-Cedar Falls</t>
  </si>
  <si>
    <t>La James International College-Davenport</t>
  </si>
  <si>
    <t>La James International College-Ft Dodge</t>
  </si>
  <si>
    <t>La James International College-Iowa City</t>
  </si>
  <si>
    <t>La James International College-Johnston</t>
  </si>
  <si>
    <t>La Roche University</t>
  </si>
  <si>
    <t>La Salle University</t>
  </si>
  <si>
    <t>La Sierra University</t>
  </si>
  <si>
    <t>LaBarberia Institute of Hair</t>
  </si>
  <si>
    <t>Labette Community College</t>
  </si>
  <si>
    <t>Laboure College</t>
  </si>
  <si>
    <t>Lac Courte Oreilles Ojibwe College</t>
  </si>
  <si>
    <t>Lackawanna College</t>
  </si>
  <si>
    <t>Lafayette College</t>
  </si>
  <si>
    <t>LaGrange College</t>
  </si>
  <si>
    <t>Laguna College of Art and Design</t>
  </si>
  <si>
    <t>Lake Area Technical College</t>
  </si>
  <si>
    <t>Lake Career and Technical Center</t>
  </si>
  <si>
    <t>Lake Erie College</t>
  </si>
  <si>
    <t>Lake Erie College of Osteopathic Medicine</t>
  </si>
  <si>
    <t>Lake Forest College</t>
  </si>
  <si>
    <t>Lake Forest Graduate School of Management</t>
  </si>
  <si>
    <t>Lake Land College</t>
  </si>
  <si>
    <t>Lake Michigan College</t>
  </si>
  <si>
    <t>Lake Region State College</t>
  </si>
  <si>
    <t>Lake Superior College</t>
  </si>
  <si>
    <t>Lake Superior State University</t>
  </si>
  <si>
    <t>Lake Tahoe Community College</t>
  </si>
  <si>
    <t>Lake Technical College</t>
  </si>
  <si>
    <t>Lake Washington Institute of Technology</t>
  </si>
  <si>
    <t>Lakeland Community College</t>
  </si>
  <si>
    <t>Lakeland University</t>
  </si>
  <si>
    <t>Lakes Region Community College</t>
  </si>
  <si>
    <t>Lakeshore Technical College</t>
  </si>
  <si>
    <t>Lake-Sumter State College</t>
  </si>
  <si>
    <t>Lakeview College of Nursing</t>
  </si>
  <si>
    <t>Lakewood School of Therapeutic Massage</t>
  </si>
  <si>
    <t>Lakewood University</t>
  </si>
  <si>
    <t>Lamar Community College</t>
  </si>
  <si>
    <t>Lamar Institute of Technology</t>
  </si>
  <si>
    <t>Lamar State College-Orange</t>
  </si>
  <si>
    <t>Lamar State College-Port Arthur</t>
  </si>
  <si>
    <t>Lamar University</t>
  </si>
  <si>
    <t>Lamson Institute</t>
  </si>
  <si>
    <t>Lancaster Beauty School</t>
  </si>
  <si>
    <t>Lancaster Bible College</t>
  </si>
  <si>
    <t>Lancaster County Career and Technology Center</t>
  </si>
  <si>
    <t>Lancaster School of Cosmetology &amp; Therapeutic Bodywork</t>
  </si>
  <si>
    <t>Lancaster Theological Seminary</t>
  </si>
  <si>
    <t>Lander University</t>
  </si>
  <si>
    <t>Landmark College</t>
  </si>
  <si>
    <t>Lane College</t>
  </si>
  <si>
    <t>Lane Community College</t>
  </si>
  <si>
    <t>Laney College</t>
  </si>
  <si>
    <t>Langston University</t>
  </si>
  <si>
    <t>Lanier Technical College</t>
  </si>
  <si>
    <t>Lansdale School of Business</t>
  </si>
  <si>
    <t>Lansdale School of Cosmetology Inc</t>
  </si>
  <si>
    <t>Lansing Community College</t>
  </si>
  <si>
    <t>Laramie County Community College</t>
  </si>
  <si>
    <t>Laredo Beauty College Inc</t>
  </si>
  <si>
    <t>Laredo CHI Academy Beauty School</t>
  </si>
  <si>
    <t>Laredo College</t>
  </si>
  <si>
    <t>Larry's Barber College</t>
  </si>
  <si>
    <t>Larry's Barber College-Joliet</t>
  </si>
  <si>
    <t>Las Positas College</t>
  </si>
  <si>
    <t>Las Vegas College</t>
  </si>
  <si>
    <t>LaSalle Tech</t>
  </si>
  <si>
    <t>Lasell University</t>
  </si>
  <si>
    <t>Lassen Community College</t>
  </si>
  <si>
    <t>Latin American Bible Institute</t>
  </si>
  <si>
    <t>Latin Beauty Academy</t>
  </si>
  <si>
    <t>Laurel Business Institute</t>
  </si>
  <si>
    <t>Laurel Ridge Community College</t>
  </si>
  <si>
    <t>Laurel Technical Institute</t>
  </si>
  <si>
    <t>Laurus College</t>
  </si>
  <si>
    <t>Lawrence &amp; Company College of Cosmetology</t>
  </si>
  <si>
    <t>Lawrence Memorial Hospital School of Nursing</t>
  </si>
  <si>
    <t>Lawrence Technological University</t>
  </si>
  <si>
    <t>Lawrence University</t>
  </si>
  <si>
    <t>Lawson State Community College</t>
  </si>
  <si>
    <t>Le Moyne College</t>
  </si>
  <si>
    <t>Le Moyne-Owen College</t>
  </si>
  <si>
    <t>Learnet Academy Inc</t>
  </si>
  <si>
    <t>Learning Bridge Career Institute</t>
  </si>
  <si>
    <t>Lebanon College of Cosmetology</t>
  </si>
  <si>
    <t>Lebanon County Area Vocational Technical School</t>
  </si>
  <si>
    <t>Lebanon Valley College</t>
  </si>
  <si>
    <t>Lee College</t>
  </si>
  <si>
    <t>Lee Professional Institute</t>
  </si>
  <si>
    <t>Lee University</t>
  </si>
  <si>
    <t>Leech Lake Tribal College</t>
  </si>
  <si>
    <t>Lees-McRae College</t>
  </si>
  <si>
    <t>Leeward Community College</t>
  </si>
  <si>
    <t>LeGrand Institute of Cosmetology Inc</t>
  </si>
  <si>
    <t>Lehigh Carbon Community College</t>
  </si>
  <si>
    <t>Lehigh University</t>
  </si>
  <si>
    <t>Lehigh Valley Barber School</t>
  </si>
  <si>
    <t>Lenape Technical School Practical Nursing Program</t>
  </si>
  <si>
    <t>Lenoir Community College</t>
  </si>
  <si>
    <t>Lenoir-Rhyne University</t>
  </si>
  <si>
    <t>Leon Studio One School of Beauty Knowledge</t>
  </si>
  <si>
    <t>Leons Beauty School Inc</t>
  </si>
  <si>
    <t>Lesley University</t>
  </si>
  <si>
    <t>L'esprit Academy</t>
  </si>
  <si>
    <t>Leston College</t>
  </si>
  <si>
    <t>LeTourneau University</t>
  </si>
  <si>
    <t>Levittown Beauty Academy</t>
  </si>
  <si>
    <t>Lewis &amp; Clark College</t>
  </si>
  <si>
    <t>Lewis and Clark Community College</t>
  </si>
  <si>
    <t>Lewis University</t>
  </si>
  <si>
    <t>Lewis-Clark State College</t>
  </si>
  <si>
    <t>Lex La-Ray Technical Center</t>
  </si>
  <si>
    <t>Lexington Healing Arts Academy</t>
  </si>
  <si>
    <t>Lexington Theological Seminary</t>
  </si>
  <si>
    <t>Lia Schorr Institute of Cosmetic Skin Care Training</t>
  </si>
  <si>
    <t>Liberty Junior College</t>
  </si>
  <si>
    <t>Liberty University</t>
  </si>
  <si>
    <t>Liceo de Arte y Tecnologia</t>
  </si>
  <si>
    <t>Liceo de Arte-Dise-O y Comercio</t>
  </si>
  <si>
    <t>Life Chiropractic College West</t>
  </si>
  <si>
    <t>Life Pacific University</t>
  </si>
  <si>
    <t>Life University</t>
  </si>
  <si>
    <t>Lil Lou's Beauty and Barber College</t>
  </si>
  <si>
    <t>Lil Lou's Beauty and Barber College-Hammond</t>
  </si>
  <si>
    <t>LIM College</t>
  </si>
  <si>
    <t>Limestone University</t>
  </si>
  <si>
    <t>Lincoln Christian University</t>
  </si>
  <si>
    <t>Lincoln College</t>
  </si>
  <si>
    <t>Lincoln College of Technology-Columbia</t>
  </si>
  <si>
    <t>Lincoln College of Technology-Denver</t>
  </si>
  <si>
    <t>Lincoln College of Technology-Grand Prairie</t>
  </si>
  <si>
    <t>Lincoln College of Technology-Indianapolis</t>
  </si>
  <si>
    <t>Lincoln College of Technology-Marietta</t>
  </si>
  <si>
    <t>Lincoln College of Technology-Melrose Park</t>
  </si>
  <si>
    <t>Lincoln College of Technology-Nashville</t>
  </si>
  <si>
    <t>Lincoln Land Community College</t>
  </si>
  <si>
    <t>Lincoln Memorial University</t>
  </si>
  <si>
    <t>Lincoln Technical Institute-Allentown</t>
  </si>
  <si>
    <t>Lincoln Technical Institute-East Windsor</t>
  </si>
  <si>
    <t>Lincoln Technical Institute-Iselin</t>
  </si>
  <si>
    <t>Lincoln Technical Institute-Lincoln</t>
  </si>
  <si>
    <t>Lincoln Technical Institute-Mahwah</t>
  </si>
  <si>
    <t>Lincoln Technical Institute-Moorestown</t>
  </si>
  <si>
    <t>Lincoln Technical Institute-New Britain</t>
  </si>
  <si>
    <t>Lincoln Technical Institute-Paramus</t>
  </si>
  <si>
    <t>Lincoln Technical Institute-Philadelphia</t>
  </si>
  <si>
    <t>Lincoln Technical Institute-Shelton</t>
  </si>
  <si>
    <t>Lincoln Technical Institute-Somerville</t>
  </si>
  <si>
    <t>Lincoln Technical Institute-South Plainfield</t>
  </si>
  <si>
    <t>Lincoln Technical Institute-Union</t>
  </si>
  <si>
    <t>Lincoln Technical Institute-Whitestone</t>
  </si>
  <si>
    <t>Lincoln Trail College</t>
  </si>
  <si>
    <t>Lincoln University</t>
  </si>
  <si>
    <t>Lindenwood University</t>
  </si>
  <si>
    <t>Lindsey Hopkins Technical College</t>
  </si>
  <si>
    <t>Lindsey Institute of Cosmetology</t>
  </si>
  <si>
    <t>Lindsey Wilson College</t>
  </si>
  <si>
    <t>Linfield University-McMinnville Campus</t>
  </si>
  <si>
    <t>Linfield University-Online and Continuing Education</t>
  </si>
  <si>
    <t>Linfield University-School of Nursing</t>
  </si>
  <si>
    <t>Linn-Benton Community College</t>
  </si>
  <si>
    <t>Lionel University</t>
  </si>
  <si>
    <t>Lipscomb University</t>
  </si>
  <si>
    <t>Little Big Horn College</t>
  </si>
  <si>
    <t>Little Priest Tribal College</t>
  </si>
  <si>
    <t>Lively Technical College</t>
  </si>
  <si>
    <t>Living Arts College</t>
  </si>
  <si>
    <t>Livingstone College</t>
  </si>
  <si>
    <t>Lock Haven University</t>
  </si>
  <si>
    <t>Logan University</t>
  </si>
  <si>
    <t>Loma Linda University</t>
  </si>
  <si>
    <t>Lone Star College System</t>
  </si>
  <si>
    <t>Long Beach City College</t>
  </si>
  <si>
    <t>Long Island Beauty School-Hauppauge</t>
  </si>
  <si>
    <t>Long Island Beauty School-Hempstead</t>
  </si>
  <si>
    <t>Long Island Business Institute</t>
  </si>
  <si>
    <t>Long Island Nail Skin &amp; Hair Institute</t>
  </si>
  <si>
    <t>Long Island University</t>
  </si>
  <si>
    <t>Longwood University</t>
  </si>
  <si>
    <t>Longy School of Music of Bard College</t>
  </si>
  <si>
    <t>Lorain County Community College</t>
  </si>
  <si>
    <t>Lorain County Joint Vocational School District</t>
  </si>
  <si>
    <t>Loraines Academy &amp; Spa</t>
  </si>
  <si>
    <t>Loras College</t>
  </si>
  <si>
    <t>Lorenzo Walker Technical College</t>
  </si>
  <si>
    <t>Los Angeles Academy of Figurative Art</t>
  </si>
  <si>
    <t>Los Angeles City College</t>
  </si>
  <si>
    <t>Los Angeles College of Music</t>
  </si>
  <si>
    <t>Los Angeles Community College District Office</t>
  </si>
  <si>
    <t>Los Angeles County College of Nursing and Allied Health</t>
  </si>
  <si>
    <t>Los Angeles Film School</t>
  </si>
  <si>
    <t>Los Angeles Harbor College</t>
  </si>
  <si>
    <t>Los Angeles Mission College</t>
  </si>
  <si>
    <t>Los Angeles Pacific College</t>
  </si>
  <si>
    <t>Los Angeles Pacific University</t>
  </si>
  <si>
    <t>Los Angeles Pierce College</t>
  </si>
  <si>
    <t>Los Angeles Southwest College</t>
  </si>
  <si>
    <t>Los Angeles Trade Technical College</t>
  </si>
  <si>
    <t>Los Angeles Valley College</t>
  </si>
  <si>
    <t>Los Medanos College</t>
  </si>
  <si>
    <t>Los Rios Community College District Office</t>
  </si>
  <si>
    <t>Lotus Professional College</t>
  </si>
  <si>
    <t>Louisburg College</t>
  </si>
  <si>
    <t>Louisiana Academy of Beauty</t>
  </si>
  <si>
    <t>Louisiana College</t>
  </si>
  <si>
    <t>Louisiana Culinary Institute</t>
  </si>
  <si>
    <t>Louisiana Delta Community College</t>
  </si>
  <si>
    <t>Louisiana State University and Agricultural &amp; Mechanical College</t>
  </si>
  <si>
    <t>Louisiana State University Health Sciences Center-New Orleans</t>
  </si>
  <si>
    <t>Louisiana State University Health Sciences Center-Shreveport</t>
  </si>
  <si>
    <t>Louisiana State University-Alexandria</t>
  </si>
  <si>
    <t>Louisiana State University-Eunice</t>
  </si>
  <si>
    <t>Louisiana State University-Shreveport</t>
  </si>
  <si>
    <t>Louisiana Tech University</t>
  </si>
  <si>
    <t>Louisville Presbyterian Theological Seminary</t>
  </si>
  <si>
    <t>Lourdes University</t>
  </si>
  <si>
    <t>Love Beauty School Inc</t>
  </si>
  <si>
    <t>Lowell Academy Hairstyling Institute</t>
  </si>
  <si>
    <t>Lower Columbia College</t>
  </si>
  <si>
    <t>Loyola Marymount University</t>
  </si>
  <si>
    <t>Loyola University Chicago</t>
  </si>
  <si>
    <t>Loyola University Maryland</t>
  </si>
  <si>
    <t>Loyola University New Orleans</t>
  </si>
  <si>
    <t>Lu Ross Academy</t>
  </si>
  <si>
    <t>Lubbock Christian University</t>
  </si>
  <si>
    <t>Luckes Beauty Academy LLC</t>
  </si>
  <si>
    <t>Luna Community College</t>
  </si>
  <si>
    <t>Lurleen B Wallace Community College</t>
  </si>
  <si>
    <t>Luther College</t>
  </si>
  <si>
    <t>Luther Rice College &amp; Seminary</t>
  </si>
  <si>
    <t>Luther Seminary</t>
  </si>
  <si>
    <t>Lutheran School of Nursing</t>
  </si>
  <si>
    <t>Lutheran School of Theology at Chicago</t>
  </si>
  <si>
    <t>Luzerne County Community College</t>
  </si>
  <si>
    <t>Lycoming College</t>
  </si>
  <si>
    <t>Lyle's College of  Beauty</t>
  </si>
  <si>
    <t>Lyle's College of Beauty</t>
  </si>
  <si>
    <t>Lynn University</t>
  </si>
  <si>
    <t>Lynnes Welding Training</t>
  </si>
  <si>
    <t>Lynnes Welding Training-Bismarck</t>
  </si>
  <si>
    <t>Lyon College</t>
  </si>
  <si>
    <t>Lytles Redwood Empire Beauty College</t>
  </si>
  <si>
    <t>M J Murphy Beauty College of Mount Pleasant</t>
  </si>
  <si>
    <t>M T Training Center</t>
  </si>
  <si>
    <t>Macalester College</t>
  </si>
  <si>
    <t>MacCormac College</t>
  </si>
  <si>
    <t>Machzikei Hadath Rabbinical College</t>
  </si>
  <si>
    <t>Macomb Community College</t>
  </si>
  <si>
    <t>Madera Community College</t>
  </si>
  <si>
    <t>Madison Adult Career Center</t>
  </si>
  <si>
    <t>Madison Area Technical College</t>
  </si>
  <si>
    <t>Madison Oneida BOCES-Practical Nursing Program</t>
  </si>
  <si>
    <t>Madisonville Community College</t>
  </si>
  <si>
    <t>Madonna University</t>
  </si>
  <si>
    <t>Magdalen College</t>
  </si>
  <si>
    <t>Magnolia College of Cosmetology</t>
  </si>
  <si>
    <t>Maharishi International University</t>
  </si>
  <si>
    <t>Mahoning County Career and Technical Center</t>
  </si>
  <si>
    <t>Maine College of Art &amp; Design</t>
  </si>
  <si>
    <t>Maine College of Health Professions</t>
  </si>
  <si>
    <t>Maine Maritime Academy</t>
  </si>
  <si>
    <t>Maine Media College</t>
  </si>
  <si>
    <t>MAK Beauty Institute</t>
  </si>
  <si>
    <t>Makana Esthetics Wellness Academy</t>
  </si>
  <si>
    <t>Make-up Designory</t>
  </si>
  <si>
    <t>Malone University</t>
  </si>
  <si>
    <t>Manatee Technical College</t>
  </si>
  <si>
    <t>Manchester Community College</t>
  </si>
  <si>
    <t>Manchester University</t>
  </si>
  <si>
    <t>Mandalyn Academy</t>
  </si>
  <si>
    <t>Mandl School-The College of Allied Health</t>
  </si>
  <si>
    <t>Manhattan Area Technical College</t>
  </si>
  <si>
    <t>Manhattan Christian College</t>
  </si>
  <si>
    <t>Manhattan College</t>
  </si>
  <si>
    <t>Manhattan School of Computer Technology</t>
  </si>
  <si>
    <t>Manhattan School of Music</t>
  </si>
  <si>
    <t>Manhattanville College</t>
  </si>
  <si>
    <t>Manna University</t>
  </si>
  <si>
    <t>Manor College</t>
  </si>
  <si>
    <t>Mansfield University of Pennsylvania</t>
  </si>
  <si>
    <t>Manuel and Theresa's School of Hair Design</t>
  </si>
  <si>
    <t>Manuel and Theresa's School of Hair Design-Bryan</t>
  </si>
  <si>
    <t>Manuel and Theresa's School of Hair Design-Victoria</t>
  </si>
  <si>
    <t>Maple Springs Baptist Bible College and Seminary</t>
  </si>
  <si>
    <t>Maranatha Baptist University</t>
  </si>
  <si>
    <t>Margaret H Rollins School of Nursing at Beebe Medical Center</t>
  </si>
  <si>
    <t>Maria College of Albany</t>
  </si>
  <si>
    <t>Marian Health Careers Center-Los Angeles Campus</t>
  </si>
  <si>
    <t>Marian Health Careers Center-Van Nuys Campus</t>
  </si>
  <si>
    <t>Marian University</t>
  </si>
  <si>
    <t>Mariano Moreno Culinary Institute</t>
  </si>
  <si>
    <t>Maricopa Community College System Office</t>
  </si>
  <si>
    <t>Marietta College</t>
  </si>
  <si>
    <t>Marion Military Institute</t>
  </si>
  <si>
    <t>Marion S Whelan School of Nursing of Geneva General Hospital</t>
  </si>
  <si>
    <t>Marion Technical College</t>
  </si>
  <si>
    <t>Marist College</t>
  </si>
  <si>
    <t>Marketti Academy of Cosmetology</t>
  </si>
  <si>
    <t>Marquette University</t>
  </si>
  <si>
    <t>Mars Hill University</t>
  </si>
  <si>
    <t>Marshall B Ketchum University</t>
  </si>
  <si>
    <t>Marshall University</t>
  </si>
  <si>
    <t>Marshalltown Community College</t>
  </si>
  <si>
    <t>Martin Community College</t>
  </si>
  <si>
    <t>Martin Luther College</t>
  </si>
  <si>
    <t>Martin University</t>
  </si>
  <si>
    <t>Martinsburg College</t>
  </si>
  <si>
    <t>Mary Baldwin University</t>
  </si>
  <si>
    <t>Maryland Beauty Academy of Essex</t>
  </si>
  <si>
    <t>Maryland Institute College of Art</t>
  </si>
  <si>
    <t>Maryland University of Integrative Health</t>
  </si>
  <si>
    <t>Marymount California University</t>
  </si>
  <si>
    <t>Marymount Manhattan College</t>
  </si>
  <si>
    <t>Marymount University</t>
  </si>
  <si>
    <t>Maryville College</t>
  </si>
  <si>
    <t>Maryville University of Saint Louis</t>
  </si>
  <si>
    <t>Marywood University</t>
  </si>
  <si>
    <t>Mason Anthony School of Cosmetology Arts &amp; Sciences</t>
  </si>
  <si>
    <t>Massachusetts Bay Community College</t>
  </si>
  <si>
    <t>Massachusetts College of Art and Design</t>
  </si>
  <si>
    <t>Massachusetts College of Liberal Arts</t>
  </si>
  <si>
    <t>Massachusetts Institute of Technology</t>
  </si>
  <si>
    <t>Massachusetts Maritime Academy</t>
  </si>
  <si>
    <t>Massachusetts School of Barbering</t>
  </si>
  <si>
    <t>Massachusetts School of Law</t>
  </si>
  <si>
    <t>Massage Institute of Memphis</t>
  </si>
  <si>
    <t>Massasoit Community College</t>
  </si>
  <si>
    <t>Master's Barber &amp; Styling College</t>
  </si>
  <si>
    <t>Mauna Loa Helicopters</t>
  </si>
  <si>
    <t>Mayfield College</t>
  </si>
  <si>
    <t>Mayland Community College</t>
  </si>
  <si>
    <t>Mayo Clinic College of Medicine and Science</t>
  </si>
  <si>
    <t>Maysville Community and Technical College</t>
  </si>
  <si>
    <t>Mayville State University</t>
  </si>
  <si>
    <t>McCormick Theological Seminary</t>
  </si>
  <si>
    <t>McDaniel College</t>
  </si>
  <si>
    <t>McDougle Technical  Institute</t>
  </si>
  <si>
    <t>McDowell Technical Community College</t>
  </si>
  <si>
    <t>McHenry County College</t>
  </si>
  <si>
    <t>MCI</t>
  </si>
  <si>
    <t>McKendree University</t>
  </si>
  <si>
    <t>McLennan Community College</t>
  </si>
  <si>
    <t>McMurry University</t>
  </si>
  <si>
    <t>McNeese State University</t>
  </si>
  <si>
    <t>McPherson College</t>
  </si>
  <si>
    <t>MCPHS University</t>
  </si>
  <si>
    <t>MCVSD</t>
  </si>
  <si>
    <t>M-DCPS The English Center</t>
  </si>
  <si>
    <t>MDT College of Health Sciences</t>
  </si>
  <si>
    <t>Meadville Theological School of Lombard College</t>
  </si>
  <si>
    <t>Mechon L'hoyroa</t>
  </si>
  <si>
    <t>Mech-Tech College</t>
  </si>
  <si>
    <t>Med Academy</t>
  </si>
  <si>
    <t>Medaille College</t>
  </si>
  <si>
    <t>MediaTech Institute-Dallas</t>
  </si>
  <si>
    <t>MediaTech Institute-Houston</t>
  </si>
  <si>
    <t>Medical Allied Career Center</t>
  </si>
  <si>
    <t>Medical Career &amp; Technical College</t>
  </si>
  <si>
    <t>Medical Career College of Northern California</t>
  </si>
  <si>
    <t>Medical Career Institute</t>
  </si>
  <si>
    <t>Medical College of Wisconsin</t>
  </si>
  <si>
    <t>Medical Institute of Palm Beach</t>
  </si>
  <si>
    <t>Medical Training College</t>
  </si>
  <si>
    <t>Medical University of South Carolina</t>
  </si>
  <si>
    <t>Medina County Career Center</t>
  </si>
  <si>
    <t>MedQuest College</t>
  </si>
  <si>
    <t>Medspa Academies</t>
  </si>
  <si>
    <t>Medspa Academies-National Institute of Modern Aesthetics</t>
  </si>
  <si>
    <t>Meharry Medical College</t>
  </si>
  <si>
    <t>Mei Barber School</t>
  </si>
  <si>
    <t>Memorial Hospital School of Radiation Therapy Technology</t>
  </si>
  <si>
    <t>Memphis Theological Seminary</t>
  </si>
  <si>
    <t>Mendocino College</t>
  </si>
  <si>
    <t>Menlo College</t>
  </si>
  <si>
    <t>Merced College</t>
  </si>
  <si>
    <t>Mercer County Career Center</t>
  </si>
  <si>
    <t>Mercer County Community College</t>
  </si>
  <si>
    <t>Mercer County Technical Education Center</t>
  </si>
  <si>
    <t>Mercer University</t>
  </si>
  <si>
    <t>Mercy College</t>
  </si>
  <si>
    <t>Mercy College of Health Sciences</t>
  </si>
  <si>
    <t>Mercy College of Ohio</t>
  </si>
  <si>
    <t>Mercy Hospital School of Practical Nursing-Plantation General Hospital</t>
  </si>
  <si>
    <t>Mercyhurst University</t>
  </si>
  <si>
    <t>Mercyhurst University-North East Campus</t>
  </si>
  <si>
    <t>Mercy-St Luke's School of Radiologic Technology</t>
  </si>
  <si>
    <t>Meredith College</t>
  </si>
  <si>
    <t>Meredith Manor International Equestrian Center</t>
  </si>
  <si>
    <t>Meridian College</t>
  </si>
  <si>
    <t>Meridian Community College</t>
  </si>
  <si>
    <t>Meridian Institute of Surgical Assisting</t>
  </si>
  <si>
    <t>Meridian Technology Center</t>
  </si>
  <si>
    <t>Meridian University</t>
  </si>
  <si>
    <t>Merkaz Bnos-Business School</t>
  </si>
  <si>
    <t>Merrimack College</t>
  </si>
  <si>
    <t>Merritt College</t>
  </si>
  <si>
    <t>Merryfield School of Pet Grooming</t>
  </si>
  <si>
    <t>Meryma'at Barber College</t>
  </si>
  <si>
    <t>Mesa Community College</t>
  </si>
  <si>
    <t>Mesabi Range College</t>
  </si>
  <si>
    <t>Mesalands Community College</t>
  </si>
  <si>
    <t>Mesivta of Eastern Parkway-Yeshiva Zichron Meilech</t>
  </si>
  <si>
    <t>Mesivta Torah Vodaath Rabbinical Seminary</t>
  </si>
  <si>
    <t>Mesivtha Tifereth Jerusalem of America</t>
  </si>
  <si>
    <t>Messenger College</t>
  </si>
  <si>
    <t>Messiah University</t>
  </si>
  <si>
    <t>Methodist College</t>
  </si>
  <si>
    <t>Methodist Theological School in Ohio</t>
  </si>
  <si>
    <t>Methodist University</t>
  </si>
  <si>
    <t>Metro Beauty Academy</t>
  </si>
  <si>
    <t>Metro Detroit Barber College</t>
  </si>
  <si>
    <t>Metro Technology Centers</t>
  </si>
  <si>
    <t>Metropolitan College of New York</t>
  </si>
  <si>
    <t>Metropolitan Community College Area</t>
  </si>
  <si>
    <t>Metropolitan Community College-Kansas City</t>
  </si>
  <si>
    <t>Metropolitan Learning Institute</t>
  </si>
  <si>
    <t>Metropolitan State University</t>
  </si>
  <si>
    <t>Metropolitan State University of Denver</t>
  </si>
  <si>
    <t>MGH Institute of Health Professions</t>
  </si>
  <si>
    <t>Miami Ad School</t>
  </si>
  <si>
    <t>Miami Ad School-Atlanta</t>
  </si>
  <si>
    <t>Miami Ad School-New York</t>
  </si>
  <si>
    <t>Miami Ad School-San Francisco</t>
  </si>
  <si>
    <t>Miami Dade College</t>
  </si>
  <si>
    <t>Miami International University of Art &amp; Design-Art Institute Dallas</t>
  </si>
  <si>
    <t>Miami Lakes Educational Center and Technical College</t>
  </si>
  <si>
    <t>Miami Media School</t>
  </si>
  <si>
    <t>Miami Regional University</t>
  </si>
  <si>
    <t>Miami University-Hamilton</t>
  </si>
  <si>
    <t>Miami University-Middletown</t>
  </si>
  <si>
    <t>Miami University-Oxford</t>
  </si>
  <si>
    <t>Miami Valley Career Technology Center</t>
  </si>
  <si>
    <t>MIAT College of Technology</t>
  </si>
  <si>
    <t>Michael's Barber &amp; Hair Stylist Academy</t>
  </si>
  <si>
    <t>Michael's School of Hair Design &amp; Esthetics</t>
  </si>
  <si>
    <t>Michigan Career and Technical Institute</t>
  </si>
  <si>
    <t>Michigan College of Beauty-Monroe</t>
  </si>
  <si>
    <t>Michigan College of Beauty-Troy</t>
  </si>
  <si>
    <t>Michigan School of Psychology</t>
  </si>
  <si>
    <t>Michigan State University</t>
  </si>
  <si>
    <t>Michigan Technological University</t>
  </si>
  <si>
    <t>Mid Cities Barber College</t>
  </si>
  <si>
    <t>Mid Michigan College</t>
  </si>
  <si>
    <t>Mid-America Christian University</t>
  </si>
  <si>
    <t>Mid-America College of Funeral Service</t>
  </si>
  <si>
    <t>MidAmerica Nazarene University</t>
  </si>
  <si>
    <t>Mid-America Technology Center</t>
  </si>
  <si>
    <t>Mid-Atlantic Christian University</t>
  </si>
  <si>
    <t>Mid-Del Technology Center</t>
  </si>
  <si>
    <t>Middle Georgia State University</t>
  </si>
  <si>
    <t>Middle Tennessee School of Anesthesia Inc</t>
  </si>
  <si>
    <t>Middle Tennessee State University</t>
  </si>
  <si>
    <t>Middlebury College</t>
  </si>
  <si>
    <t>Middlebury Institute of International Studies at Monterey</t>
  </si>
  <si>
    <t>Middlesex College</t>
  </si>
  <si>
    <t>Middlesex Community College</t>
  </si>
  <si>
    <t>Mid-EastCTC-Adult Education</t>
  </si>
  <si>
    <t>Midfield Institute of Cosmetology</t>
  </si>
  <si>
    <t>Midland College</t>
  </si>
  <si>
    <t>Midland University</t>
  </si>
  <si>
    <t>Midlands Technical College</t>
  </si>
  <si>
    <t>Mid-Plains Community College</t>
  </si>
  <si>
    <t>Mid-South Christian College</t>
  </si>
  <si>
    <t>Mid-State Technical College</t>
  </si>
  <si>
    <t>Midway Paris Beauty School</t>
  </si>
  <si>
    <t>Midway University</t>
  </si>
  <si>
    <t>Midwest Barber College</t>
  </si>
  <si>
    <t>Midwest College of Oriental Medicine-Racine</t>
  </si>
  <si>
    <t>Midwest College of Oriental Medicine-Skokie</t>
  </si>
  <si>
    <t>Midwest Institute</t>
  </si>
  <si>
    <t>Midwest Technical Institute-East Peoria</t>
  </si>
  <si>
    <t>Midwest Technical Institute-Illinois</t>
  </si>
  <si>
    <t>Midwest Technical Institute-Missouri</t>
  </si>
  <si>
    <t>Midwest Technical Institute-Moline</t>
  </si>
  <si>
    <t>Midwest Technical Institute-Ridgeland</t>
  </si>
  <si>
    <t>Midwestern Baptist Theological Seminary</t>
  </si>
  <si>
    <t>Midwestern Career College</t>
  </si>
  <si>
    <t>Midwestern State University</t>
  </si>
  <si>
    <t>Midwestern University-Downers Grove</t>
  </si>
  <si>
    <t>Midwestern University-Glendale</t>
  </si>
  <si>
    <t>Midwives College of Utah</t>
  </si>
  <si>
    <t>Mifflin County Academy of Science and Technology</t>
  </si>
  <si>
    <t>Milan Institute of Cosmetology-El Paso</t>
  </si>
  <si>
    <t>Milan Institute of Cosmetology-La Quinta</t>
  </si>
  <si>
    <t>Milan Institute of Cosmetology-Reno</t>
  </si>
  <si>
    <t>Milan Institute of Cosmetology-San Antonio Military</t>
  </si>
  <si>
    <t>Milan Institute of Cosmetology-Vacaville</t>
  </si>
  <si>
    <t>Milan Institute-Amarillo</t>
  </si>
  <si>
    <t>Milan Institute-Bakersfield</t>
  </si>
  <si>
    <t>Milan Institute-Bakersfield West</t>
  </si>
  <si>
    <t>Milan Institute-Boise</t>
  </si>
  <si>
    <t>Milan Institute-Clovis</t>
  </si>
  <si>
    <t>Milan Institute-Las Vegas</t>
  </si>
  <si>
    <t>Milan Institute-Merced</t>
  </si>
  <si>
    <t>Milan Institute-Palm Desert</t>
  </si>
  <si>
    <t>Milan Institute-San Antonio Ingram</t>
  </si>
  <si>
    <t>Milan Institute-Sparks</t>
  </si>
  <si>
    <t>Milan Institute-Visalia</t>
  </si>
  <si>
    <t>Mildred Elley School-Albany Campus</t>
  </si>
  <si>
    <t>Mildred Elley-New York Campus</t>
  </si>
  <si>
    <t>Mildred Elley-Pittsfield Campus</t>
  </si>
  <si>
    <t>Miles College</t>
  </si>
  <si>
    <t>Miles Community College</t>
  </si>
  <si>
    <t>Millennia Atlantic University</t>
  </si>
  <si>
    <t>Millennium Training Institute</t>
  </si>
  <si>
    <t>Miller-Motte College Platt College-Moore</t>
  </si>
  <si>
    <t>Miller-Motte College Platt College-OKC-Memorial</t>
  </si>
  <si>
    <t>Miller-Motte College-Arizona Automotive Institute</t>
  </si>
  <si>
    <t>Miller-Motte College-Augusta</t>
  </si>
  <si>
    <t>Miller-Motte College-Berks Technical Institute</t>
  </si>
  <si>
    <t>Miller-Motte College-Charleston</t>
  </si>
  <si>
    <t>Miller-Motte College-Chattanooga</t>
  </si>
  <si>
    <t>Miller-Motte College-Chattanooga 2</t>
  </si>
  <si>
    <t>Miller-Motte College-Columbus</t>
  </si>
  <si>
    <t>Miller-Motte College-Conway</t>
  </si>
  <si>
    <t>Miller-Motte College-Edge Tech Academy</t>
  </si>
  <si>
    <t>Miller-Motte College-Fayetteville</t>
  </si>
  <si>
    <t>Miller-Motte College-Jacksonville</t>
  </si>
  <si>
    <t>Miller-Motte College-Macon</t>
  </si>
  <si>
    <t>Miller-Motte College-McCann-Allentown</t>
  </si>
  <si>
    <t>Miller-Motte College-McCann-Lewisburg</t>
  </si>
  <si>
    <t>Miller-Motte College-McCann-Monroe</t>
  </si>
  <si>
    <t>Miller-Motte College-Platt College-Lawton</t>
  </si>
  <si>
    <t>Miller-Motte College-Platt College-Tulsa</t>
  </si>
  <si>
    <t>Miller-Motte College-Raleigh</t>
  </si>
  <si>
    <t>Miller-Motte College-STVT-Corpus Christi</t>
  </si>
  <si>
    <t>Miller-Motte College-STVT-McAllen</t>
  </si>
  <si>
    <t>Miller-Motte College-STVT-San Antonio</t>
  </si>
  <si>
    <t>Miller-Motte College-Wilmington</t>
  </si>
  <si>
    <t>Millersville University of Pennsylvania</t>
  </si>
  <si>
    <t>Milligan University</t>
  </si>
  <si>
    <t>Millikin University</t>
  </si>
  <si>
    <t>Mills College</t>
  </si>
  <si>
    <t>Millsaps College</t>
  </si>
  <si>
    <t>Milwaukee Area Technical College</t>
  </si>
  <si>
    <t>Milwaukee Career College</t>
  </si>
  <si>
    <t>Milwaukee Institute of Art &amp; Design</t>
  </si>
  <si>
    <t>Milwaukee School of Engineering</t>
  </si>
  <si>
    <t>Mind Body Institute</t>
  </si>
  <si>
    <t>Mineral Area College</t>
  </si>
  <si>
    <t>Mineral County Vocational Technical Center</t>
  </si>
  <si>
    <t>Minerva University</t>
  </si>
  <si>
    <t>Mingo Extended Learning Center</t>
  </si>
  <si>
    <t>Minneapolis College of Art and Design</t>
  </si>
  <si>
    <t>Minneapolis Community and Technical College</t>
  </si>
  <si>
    <t>Minnesota School of Cosmetology-Woodbury Campus</t>
  </si>
  <si>
    <t>Minnesota State College Southeast</t>
  </si>
  <si>
    <t>Minnesota State Colleges and Universities System Office</t>
  </si>
  <si>
    <t>Minnesota State Community and Technical College</t>
  </si>
  <si>
    <t>Minnesota State University Moorhead</t>
  </si>
  <si>
    <t>Minnesota State University-Mankato</t>
  </si>
  <si>
    <t>Minnesota West Community and Technical College</t>
  </si>
  <si>
    <t>Minot State University</t>
  </si>
  <si>
    <t>MiraCosta College</t>
  </si>
  <si>
    <t>Mirrer Yeshiva Cent Institute</t>
  </si>
  <si>
    <t>Misericordia University</t>
  </si>
  <si>
    <t>Missio Theological Seminary</t>
  </si>
  <si>
    <t>Mission Beauty Institute</t>
  </si>
  <si>
    <t>Mission College</t>
  </si>
  <si>
    <t>Mississippi College</t>
  </si>
  <si>
    <t>Mississippi Community College Board</t>
  </si>
  <si>
    <t>Mississippi Delta Community College</t>
  </si>
  <si>
    <t>Mississippi Gulf Coast Community College</t>
  </si>
  <si>
    <t>Mississippi Institute of Aesthetics Nails &amp; Cosmetology</t>
  </si>
  <si>
    <t>Mississippi State University</t>
  </si>
  <si>
    <t>Mississippi University for Women</t>
  </si>
  <si>
    <t>Mississippi Valley State University</t>
  </si>
  <si>
    <t>Missouri Baptist University</t>
  </si>
  <si>
    <t>Missouri College of Cosmetology and Esthetics</t>
  </si>
  <si>
    <t>Missouri College of Cosmetology North</t>
  </si>
  <si>
    <t>Missouri Southern State University</t>
  </si>
  <si>
    <t>Missouri State University-Springfield</t>
  </si>
  <si>
    <t>Missouri State University-West Plains</t>
  </si>
  <si>
    <t>Missouri University of Science and Technology</t>
  </si>
  <si>
    <t>Missouri Valley College</t>
  </si>
  <si>
    <t>Missouri Western State University</t>
  </si>
  <si>
    <t>Mitchell College</t>
  </si>
  <si>
    <t>Mitchell Community College</t>
  </si>
  <si>
    <t>Mitchell Hamline School of Law</t>
  </si>
  <si>
    <t>Mitchell Technical College</t>
  </si>
  <si>
    <t>Mitchells Academy</t>
  </si>
  <si>
    <t>Mitsu Sato Hair Academy</t>
  </si>
  <si>
    <t>MIXED Institute of Cosmetology &amp; Barber</t>
  </si>
  <si>
    <t>MKG Beauty &amp; Business</t>
  </si>
  <si>
    <t>Moberly Area Community College</t>
  </si>
  <si>
    <t>Mobile Technical Training</t>
  </si>
  <si>
    <t>Model College of Hair Design</t>
  </si>
  <si>
    <t>Modern Beauty Academy</t>
  </si>
  <si>
    <t>Modern Hairstyling Institute-Arecibo</t>
  </si>
  <si>
    <t>Modern Hairstyling Institute-Bayamon</t>
  </si>
  <si>
    <t>Modern Hairstyling Institute-Carolina</t>
  </si>
  <si>
    <t>Modern Technology School</t>
  </si>
  <si>
    <t>Modern Welding School</t>
  </si>
  <si>
    <t>Modesto Junior College</t>
  </si>
  <si>
    <t>Mohave Community College</t>
  </si>
  <si>
    <t>Mohawk Valley Community College</t>
  </si>
  <si>
    <t>Moler Barber College</t>
  </si>
  <si>
    <t>Moler Hollywood Beauty Academy</t>
  </si>
  <si>
    <t>Moler-Pickens Beauty Academy</t>
  </si>
  <si>
    <t>Molloy College</t>
  </si>
  <si>
    <t>Monmouth College</t>
  </si>
  <si>
    <t>Monmouth University</t>
  </si>
  <si>
    <t>Monongalia County Technical Education Center</t>
  </si>
  <si>
    <t>Monroe 2 Orleans BOCES-Center for Workforce Development</t>
  </si>
  <si>
    <t>Monroe College</t>
  </si>
  <si>
    <t>Monroe Community College</t>
  </si>
  <si>
    <t>Monroe County Community College</t>
  </si>
  <si>
    <t>Montana Academy of Salons</t>
  </si>
  <si>
    <t>Montana Barber Institute</t>
  </si>
  <si>
    <t>Montana Bible College</t>
  </si>
  <si>
    <t>Montana State University</t>
  </si>
  <si>
    <t>Montana State University Billings</t>
  </si>
  <si>
    <t>Montana State University-Northern</t>
  </si>
  <si>
    <t>Montana Technological University</t>
  </si>
  <si>
    <t>Montcalm Community College</t>
  </si>
  <si>
    <t>Montclair State University</t>
  </si>
  <si>
    <t>Monteclaro Escuela de Hoteleria y Artes Culinarias</t>
  </si>
  <si>
    <t>Montefiore School of Nursing</t>
  </si>
  <si>
    <t>Monterey Peninsula College</t>
  </si>
  <si>
    <t>Montessori Education Center of the Rockies</t>
  </si>
  <si>
    <t>Montgomery Beauty School</t>
  </si>
  <si>
    <t>Montgomery College</t>
  </si>
  <si>
    <t>Montgomery Community College</t>
  </si>
  <si>
    <t>Montgomery County Community College</t>
  </si>
  <si>
    <t>Montreat College</t>
  </si>
  <si>
    <t>Montserrat College of Art</t>
  </si>
  <si>
    <t>Monty Tech</t>
  </si>
  <si>
    <t>Moody Bible Institute</t>
  </si>
  <si>
    <t>Moore Career College</t>
  </si>
  <si>
    <t>Moore College of Art and Design</t>
  </si>
  <si>
    <t>Moore Norman Technology Center</t>
  </si>
  <si>
    <t>Moorpark College</t>
  </si>
  <si>
    <t>Moraine Park Technical College</t>
  </si>
  <si>
    <t>Moraine Valley Community College</t>
  </si>
  <si>
    <t>Moravian University</t>
  </si>
  <si>
    <t>More Tech Institute</t>
  </si>
  <si>
    <t>Morehead State University</t>
  </si>
  <si>
    <t>Morehouse College</t>
  </si>
  <si>
    <t>Morehouse School of Medicine</t>
  </si>
  <si>
    <t>Moreno Valley College</t>
  </si>
  <si>
    <t>Morgan Community College</t>
  </si>
  <si>
    <t>Morgan State University</t>
  </si>
  <si>
    <t>Morgantown Beauty College Inc</t>
  </si>
  <si>
    <t>Morningside University</t>
  </si>
  <si>
    <t>Morris College</t>
  </si>
  <si>
    <t>Morris County Vocational School District</t>
  </si>
  <si>
    <t>Morrison Institute of Technology</t>
  </si>
  <si>
    <t>Morton College</t>
  </si>
  <si>
    <t>Motion Picture Institute</t>
  </si>
  <si>
    <t>Motlow State Community College</t>
  </si>
  <si>
    <t>Motoring Technical Training Institute</t>
  </si>
  <si>
    <t>MotoRing Technical Training Institute</t>
  </si>
  <si>
    <t>Mott Community College</t>
  </si>
  <si>
    <t>Mount Aloysius College</t>
  </si>
  <si>
    <t>Mount Angel Seminary</t>
  </si>
  <si>
    <t>Mount Carmel College of Nursing</t>
  </si>
  <si>
    <t>Mount Holyoke College</t>
  </si>
  <si>
    <t>Mount Marty University</t>
  </si>
  <si>
    <t>Mount Mary University</t>
  </si>
  <si>
    <t>Mount Mercy University</t>
  </si>
  <si>
    <t>Mount Saint Joseph University</t>
  </si>
  <si>
    <t>Mount Saint Mary College</t>
  </si>
  <si>
    <t>Mount Saint Mary's University</t>
  </si>
  <si>
    <t>Mount St. Mary's University</t>
  </si>
  <si>
    <t>Mount Vernon Nazarene University</t>
  </si>
  <si>
    <t>Mount Wachusett Community College</t>
  </si>
  <si>
    <t>Mountain Empire Community College</t>
  </si>
  <si>
    <t>Mountain State College</t>
  </si>
  <si>
    <t>Mountain State School of Massage</t>
  </si>
  <si>
    <t>Mountainland Technical College</t>
  </si>
  <si>
    <t>Mountwest Community and Technical College</t>
  </si>
  <si>
    <t>Mr Leon's School of Hair Design-Lewiston</t>
  </si>
  <si>
    <t>Mr Leon's School of Hair Design-Moscow</t>
  </si>
  <si>
    <t>Mr Wayne's School of Unisex Hair Design</t>
  </si>
  <si>
    <t>Ms Roberts Academy of Beauty Culture</t>
  </si>
  <si>
    <t>Mt Hood Community College</t>
  </si>
  <si>
    <t>Mt San Antonio College</t>
  </si>
  <si>
    <t>Mt San Jacinto Community College District</t>
  </si>
  <si>
    <t>Mt. Diablo Adult Education-Mt. Diablo USD</t>
  </si>
  <si>
    <t>MTI College</t>
  </si>
  <si>
    <t>Muhlenberg College</t>
  </si>
  <si>
    <t>Multnomah University</t>
  </si>
  <si>
    <t>Murray State College</t>
  </si>
  <si>
    <t>Murray State University</t>
  </si>
  <si>
    <t>Musicians Institute</t>
  </si>
  <si>
    <t>Muskegon Community College</t>
  </si>
  <si>
    <t>Muskingum University</t>
  </si>
  <si>
    <t>My Beauty &amp; Barber College</t>
  </si>
  <si>
    <t>My Le's Beauty College</t>
  </si>
  <si>
    <t>MyComputerCareer.com</t>
  </si>
  <si>
    <t>MyComputerCareer.edu-Columbus</t>
  </si>
  <si>
    <t>MyComputerCareer.edu-Raleigh</t>
  </si>
  <si>
    <t>Myotherapy College of Utah</t>
  </si>
  <si>
    <t>Myotherapy Institute</t>
  </si>
  <si>
    <t>MyrAngel Beauty Institute</t>
  </si>
  <si>
    <t>Mystros Barber Academy</t>
  </si>
  <si>
    <t>Napa Valley College</t>
  </si>
  <si>
    <t>Naropa University</t>
  </si>
  <si>
    <t>NASCAR Technical Institute</t>
  </si>
  <si>
    <t>Nash Community College</t>
  </si>
  <si>
    <t>Nashotah House</t>
  </si>
  <si>
    <t>Nashua Community College</t>
  </si>
  <si>
    <t>Nashville Film Institute</t>
  </si>
  <si>
    <t>Nashville State Community College</t>
  </si>
  <si>
    <t>Nassau Community College</t>
  </si>
  <si>
    <t>Nathan Layne Institute of Cosmetology</t>
  </si>
  <si>
    <t>National American University-Ellsworth AFB Extension</t>
  </si>
  <si>
    <t>National American University-Georgetown</t>
  </si>
  <si>
    <t>National American University-Kings Bay</t>
  </si>
  <si>
    <t>National American University-Rapid City</t>
  </si>
  <si>
    <t>National Aviation Academy of New England</t>
  </si>
  <si>
    <t>National Aviation Academy of Tampa Bay</t>
  </si>
  <si>
    <t>National Beauty College</t>
  </si>
  <si>
    <t>National Career College</t>
  </si>
  <si>
    <t>National Career Education</t>
  </si>
  <si>
    <t>National Career Institute</t>
  </si>
  <si>
    <t>National Conservatory of Dramatic Arts</t>
  </si>
  <si>
    <t>National Holistic Institute</t>
  </si>
  <si>
    <t>National Institute for Medical Assistant Advancement (NIMAA)</t>
  </si>
  <si>
    <t>National Latino Education Institute</t>
  </si>
  <si>
    <t>National Louis University</t>
  </si>
  <si>
    <t>National Paralegal College</t>
  </si>
  <si>
    <t>National Park College</t>
  </si>
  <si>
    <t>National Personal Training Institute</t>
  </si>
  <si>
    <t>National Personal Training Institute-Tampa</t>
  </si>
  <si>
    <t>National Polytechnic College</t>
  </si>
  <si>
    <t>National Tractor Trailer School Inc-Buffalo</t>
  </si>
  <si>
    <t>National Tractor Trailer School Inc-Liverpool</t>
  </si>
  <si>
    <t>National University</t>
  </si>
  <si>
    <t>National University of Health Sciences</t>
  </si>
  <si>
    <t>National University of Natural Medicine</t>
  </si>
  <si>
    <t>Natural Images Beauty College</t>
  </si>
  <si>
    <t>Naugatuck Valley Community College</t>
  </si>
  <si>
    <t>Navajo Technical University</t>
  </si>
  <si>
    <t>Naval Postgraduate School</t>
  </si>
  <si>
    <t>Navarro College</t>
  </si>
  <si>
    <t>Nazarene Bible College</t>
  </si>
  <si>
    <t>Nazarene Theological Seminary</t>
  </si>
  <si>
    <t>Nazareth College</t>
  </si>
  <si>
    <t>Nebraska College of Technical Agriculture</t>
  </si>
  <si>
    <t>Nebraska Indian Community College</t>
  </si>
  <si>
    <t>Nebraska Methodist College of Nursing &amp; Allied Health</t>
  </si>
  <si>
    <t>Nebraska Wesleyan University</t>
  </si>
  <si>
    <t>Neecee's Barber College</t>
  </si>
  <si>
    <t>Neighborhood Playhouse School of the Theater</t>
  </si>
  <si>
    <t>Neo-Esthetique European Institute</t>
  </si>
  <si>
    <t>Neosho Beauty College</t>
  </si>
  <si>
    <t>Neosho County Community College</t>
  </si>
  <si>
    <t>Ner Israel Rabbinical College</t>
  </si>
  <si>
    <t>Networks Barber College</t>
  </si>
  <si>
    <t>Neumann University</t>
  </si>
  <si>
    <t>Neumont College of Computer Science</t>
  </si>
  <si>
    <t>Nevada Career Institute</t>
  </si>
  <si>
    <t>Nevada State College</t>
  </si>
  <si>
    <t>Nevada System of Higher Education-System Office</t>
  </si>
  <si>
    <t>New Age Training</t>
  </si>
  <si>
    <t>New Beginning College of Cosmetology</t>
  </si>
  <si>
    <t>New Beginnings Beauty Academy</t>
  </si>
  <si>
    <t>New Brunswick Theological Seminary</t>
  </si>
  <si>
    <t>New Castle School of Trades</t>
  </si>
  <si>
    <t>New College of Florida</t>
  </si>
  <si>
    <t>New Community Career &amp; Technical Institute</t>
  </si>
  <si>
    <t>New Concept Massage and Beauty School</t>
  </si>
  <si>
    <t>New Dimensions School of Hair Design</t>
  </si>
  <si>
    <t>New England College</t>
  </si>
  <si>
    <t>New England College of Optometry</t>
  </si>
  <si>
    <t>New England Culinary Institute</t>
  </si>
  <si>
    <t>New England Hair Academy</t>
  </si>
  <si>
    <t>New England Institute of Technology</t>
  </si>
  <si>
    <t>New England Law-Boston</t>
  </si>
  <si>
    <t>New England School of Hair Design</t>
  </si>
  <si>
    <t>New England Tractor Trailer Training School of Connecticut</t>
  </si>
  <si>
    <t>New England Tractor Trailer Training School of CT-Bridgeport</t>
  </si>
  <si>
    <t>New England Tractor Trailer Training School of Massachusetts</t>
  </si>
  <si>
    <t>New England Tractor Trailer Training School of Rhode Island</t>
  </si>
  <si>
    <t>New Hampshire Institute for Therapeutic Arts</t>
  </si>
  <si>
    <t>New Hope Christian College-Eugene</t>
  </si>
  <si>
    <t>New Jersey City University</t>
  </si>
  <si>
    <t>New Jersey Institute of Technology</t>
  </si>
  <si>
    <t>New Mexico Highlands University</t>
  </si>
  <si>
    <t>New Mexico Institute of Mining and Technology</t>
  </si>
  <si>
    <t>New Mexico Junior College</t>
  </si>
  <si>
    <t>New Mexico Military Institute</t>
  </si>
  <si>
    <t>New Mexico State University-Alamogordo</t>
  </si>
  <si>
    <t>New Mexico State University-Dona Ana</t>
  </si>
  <si>
    <t>New Mexico State University-Grants</t>
  </si>
  <si>
    <t>New Mexico State University-Main Campus</t>
  </si>
  <si>
    <t>New Orleans Baptist Theological Seminary</t>
  </si>
  <si>
    <t>New Professions Technical Institute</t>
  </si>
  <si>
    <t>New River Community and Technical College</t>
  </si>
  <si>
    <t>New River Community College</t>
  </si>
  <si>
    <t>New Saint Andrews College</t>
  </si>
  <si>
    <t>New Tyler Barber College Inc</t>
  </si>
  <si>
    <t>New York Academy of Art</t>
  </si>
  <si>
    <t>New York Automotive and Diesel Institute</t>
  </si>
  <si>
    <t>New York College of Health Professions</t>
  </si>
  <si>
    <t>New York College of Podiatric Medicine</t>
  </si>
  <si>
    <t>New York College of Traditional Chinese Medicine</t>
  </si>
  <si>
    <t>New York Conservatory for Dramatic Arts</t>
  </si>
  <si>
    <t>New York Film Academy</t>
  </si>
  <si>
    <t>New York Institute of Beauty</t>
  </si>
  <si>
    <t>New York Institute of Massage Inc</t>
  </si>
  <si>
    <t>New York Institute of Technology</t>
  </si>
  <si>
    <t>New York Law School</t>
  </si>
  <si>
    <t>New York Medical Career Training Center</t>
  </si>
  <si>
    <t>New York Medical College</t>
  </si>
  <si>
    <t>New York School for Medical and Dental Assistants</t>
  </si>
  <si>
    <t>New York School of Esthetics &amp; Day Spa</t>
  </si>
  <si>
    <t>New York School of Interior Design</t>
  </si>
  <si>
    <t>New York Seminary</t>
  </si>
  <si>
    <t>New York Theological Seminary</t>
  </si>
  <si>
    <t>New York University</t>
  </si>
  <si>
    <t>Newberry College</t>
  </si>
  <si>
    <t>Newberry School of Beauty</t>
  </si>
  <si>
    <t>Newman University</t>
  </si>
  <si>
    <t>Newschool of Architecture and Design</t>
  </si>
  <si>
    <t>NewU University</t>
  </si>
  <si>
    <t>NHTI-Concord's Community College</t>
  </si>
  <si>
    <t>Niagara County Community College</t>
  </si>
  <si>
    <t>Niagara University</t>
  </si>
  <si>
    <t>Nicholls State University</t>
  </si>
  <si>
    <t>Nichols College</t>
  </si>
  <si>
    <t>Nicolet Area Technical College</t>
  </si>
  <si>
    <t>Nightingale College</t>
  </si>
  <si>
    <t>No Grease Barber School</t>
  </si>
  <si>
    <t>Norco College</t>
  </si>
  <si>
    <t>Norfolk State University</t>
  </si>
  <si>
    <t>Normandale Community College</t>
  </si>
  <si>
    <t>North Adrian's College of Beauty Inc</t>
  </si>
  <si>
    <t>North American Trade Schools</t>
  </si>
  <si>
    <t>North American University</t>
  </si>
  <si>
    <t>North Arkansas College</t>
  </si>
  <si>
    <t>North Bennet Street School</t>
  </si>
  <si>
    <t>North Carolina A &amp; T State University</t>
  </si>
  <si>
    <t>North Carolina Central University</t>
  </si>
  <si>
    <t>North Carolina State University at Raleigh</t>
  </si>
  <si>
    <t>North Carolina Wesleyan College</t>
  </si>
  <si>
    <t>North Central College</t>
  </si>
  <si>
    <t>North Central Institute</t>
  </si>
  <si>
    <t>North Central Kansas Technical College</t>
  </si>
  <si>
    <t>North Central Michigan College</t>
  </si>
  <si>
    <t>North Central Missouri College</t>
  </si>
  <si>
    <t>North Central State College</t>
  </si>
  <si>
    <t>North Central Texas College</t>
  </si>
  <si>
    <t>North Central University</t>
  </si>
  <si>
    <t>North Country Community College</t>
  </si>
  <si>
    <t>North Dakota State College of Science</t>
  </si>
  <si>
    <t>North Dakota State University-Main Campus</t>
  </si>
  <si>
    <t>North Florida College</t>
  </si>
  <si>
    <t>North Florida Cosmetology Institute</t>
  </si>
  <si>
    <t>North Florida Technical College</t>
  </si>
  <si>
    <t>North Georgia Technical College</t>
  </si>
  <si>
    <t>North Greenville University</t>
  </si>
  <si>
    <t>North Hennepin Community College</t>
  </si>
  <si>
    <t>North Idaho College</t>
  </si>
  <si>
    <t>North Iowa Area Community College</t>
  </si>
  <si>
    <t>North Orange County Community College District</t>
  </si>
  <si>
    <t>North Park University</t>
  </si>
  <si>
    <t>North Seattle College</t>
  </si>
  <si>
    <t>North Shore Community College</t>
  </si>
  <si>
    <t>Northampton County Area Community College</t>
  </si>
  <si>
    <t>Northcentral Technical College</t>
  </si>
  <si>
    <t>Northcentral University</t>
  </si>
  <si>
    <t>Northcoast Medical Training Academy</t>
  </si>
  <si>
    <t>Northeast Alabama Community College</t>
  </si>
  <si>
    <t>Northeast College of Health Sciences</t>
  </si>
  <si>
    <t>Northeast Community College</t>
  </si>
  <si>
    <t>Northeast Iowa Community College</t>
  </si>
  <si>
    <t>Northeast Lakeview College</t>
  </si>
  <si>
    <t>Northeast Mississippi Community College</t>
  </si>
  <si>
    <t>Northeast Ohio Medical University</t>
  </si>
  <si>
    <t>Northeast State Community College</t>
  </si>
  <si>
    <t>Northeast Technical Institute</t>
  </si>
  <si>
    <t>Northeast Technology Center</t>
  </si>
  <si>
    <t>Northeast Texas Community College</t>
  </si>
  <si>
    <t>Northeast Wisconsin Technical College</t>
  </si>
  <si>
    <t>Northeastern Illinois University</t>
  </si>
  <si>
    <t>Northeastern Junior College</t>
  </si>
  <si>
    <t>Northeastern Oklahoma A&amp;M College</t>
  </si>
  <si>
    <t>Northeastern Seminary</t>
  </si>
  <si>
    <t>Northeastern State University</t>
  </si>
  <si>
    <t>Northeastern Technical College</t>
  </si>
  <si>
    <t>Northeastern University</t>
  </si>
  <si>
    <t>Northeastern University Professional Programs</t>
  </si>
  <si>
    <t>Northern Arizona University</t>
  </si>
  <si>
    <t>Northern Baptist Theological Seminary</t>
  </si>
  <si>
    <t>Northern Career Institute</t>
  </si>
  <si>
    <t>Northern Essex Community College</t>
  </si>
  <si>
    <t>Northern Illinois University</t>
  </si>
  <si>
    <t>Northern Institute of Cosmetology</t>
  </si>
  <si>
    <t>Northern Kentucky University</t>
  </si>
  <si>
    <t>Northern Maine Community College</t>
  </si>
  <si>
    <t>Northern Marianas College</t>
  </si>
  <si>
    <t>Northern Michigan University</t>
  </si>
  <si>
    <t>Northern New Mexico College</t>
  </si>
  <si>
    <t>Northern Oklahoma College</t>
  </si>
  <si>
    <t>Northern Pennsylvania Regional College</t>
  </si>
  <si>
    <t>Northern State University</t>
  </si>
  <si>
    <t>Northern Technical College</t>
  </si>
  <si>
    <t>Northern Tier Career Center</t>
  </si>
  <si>
    <t>Northern Vermont University</t>
  </si>
  <si>
    <t>Northern Virginia Community College</t>
  </si>
  <si>
    <t>Northern Virginia School of Therapeutic Massage</t>
  </si>
  <si>
    <t>Northern Wyoming Community College District</t>
  </si>
  <si>
    <t>Northland College</t>
  </si>
  <si>
    <t>Northland Community and Technical College</t>
  </si>
  <si>
    <t>Northland Pioneer College</t>
  </si>
  <si>
    <t>Northpoint Bible College</t>
  </si>
  <si>
    <t>Northshore Technical Community College</t>
  </si>
  <si>
    <t>NorthShore University HealthSystem School of Nurse Anesthesia</t>
  </si>
  <si>
    <t>NorthWest Arkansas Community College</t>
  </si>
  <si>
    <t>Northwest Career College</t>
  </si>
  <si>
    <t>Northwest College</t>
  </si>
  <si>
    <t>Northwest College of Art &amp; Design</t>
  </si>
  <si>
    <t>North-West College-Anaheim</t>
  </si>
  <si>
    <t>Northwest College-Beaverton</t>
  </si>
  <si>
    <t>Northwest College-Clackamas</t>
  </si>
  <si>
    <t>Northwest College-Eugene</t>
  </si>
  <si>
    <t>North-West College-Glendale</t>
  </si>
  <si>
    <t>Northwest College-Hillsboro</t>
  </si>
  <si>
    <t>North-West College-Long Beach</t>
  </si>
  <si>
    <t>Northwest College-Medford</t>
  </si>
  <si>
    <t>North-West College-Pomona</t>
  </si>
  <si>
    <t>North-West College-Riverside</t>
  </si>
  <si>
    <t>North-West College-San Diego</t>
  </si>
  <si>
    <t>Northwest College-Tualatin</t>
  </si>
  <si>
    <t>North-West College-Van Nuys</t>
  </si>
  <si>
    <t>North-West College-West Covina</t>
  </si>
  <si>
    <t>Northwest Educational Center</t>
  </si>
  <si>
    <t>Northwest Florida State College</t>
  </si>
  <si>
    <t>Northwest HVAC/R Training Center</t>
  </si>
  <si>
    <t>Northwest Indian College</t>
  </si>
  <si>
    <t>Northwest Iowa Community College</t>
  </si>
  <si>
    <t>Northwest Kansas Technical College</t>
  </si>
  <si>
    <t>Northwest Louisiana Technical Community College</t>
  </si>
  <si>
    <t>Northwest Mississippi Community College</t>
  </si>
  <si>
    <t>Northwest Missouri State University</t>
  </si>
  <si>
    <t>Northwest Nazarene University</t>
  </si>
  <si>
    <t>Northwest School of Wooden Boat Building</t>
  </si>
  <si>
    <t>Northwest State Community College</t>
  </si>
  <si>
    <t>Northwest Technical College</t>
  </si>
  <si>
    <t>Northwest Technical Institute</t>
  </si>
  <si>
    <t>Northwest Technology Center-Alva</t>
  </si>
  <si>
    <t>Northwest University</t>
  </si>
  <si>
    <t>Northwest University-Center for Online and Extended Education</t>
  </si>
  <si>
    <t>Northwest Vista College</t>
  </si>
  <si>
    <t>Northwestern College</t>
  </si>
  <si>
    <t>Northwestern Connecticut Community College</t>
  </si>
  <si>
    <t>Northwestern Health Sciences University</t>
  </si>
  <si>
    <t>Northwestern Michigan College</t>
  </si>
  <si>
    <t>Northwestern Oklahoma State University</t>
  </si>
  <si>
    <t>Northwestern State University of Louisiana</t>
  </si>
  <si>
    <t>Northwestern Technological Institute</t>
  </si>
  <si>
    <t>Northwestern University</t>
  </si>
  <si>
    <t>Northwest-Shoals Community College</t>
  </si>
  <si>
    <t>Northwood Technical College</t>
  </si>
  <si>
    <t>Northwood University</t>
  </si>
  <si>
    <t>Norwalk Community College</t>
  </si>
  <si>
    <t>Norwich University</t>
  </si>
  <si>
    <t>Nossi College of Art</t>
  </si>
  <si>
    <t>Notre Dame College</t>
  </si>
  <si>
    <t>Notre Dame de Namur University</t>
  </si>
  <si>
    <t>Notre Dame of Maryland University</t>
  </si>
  <si>
    <t>Nouvelle Institute</t>
  </si>
  <si>
    <t>Nova Academy of Cosmetology</t>
  </si>
  <si>
    <t>Nova College de Puerto Rico</t>
  </si>
  <si>
    <t>Nova Southeastern University</t>
  </si>
  <si>
    <t>NTMA Training Centers of Southern California</t>
  </si>
  <si>
    <t>NUC University</t>
  </si>
  <si>
    <t>Nueta Hidatsa Sahnish College</t>
  </si>
  <si>
    <t>Nunez Community College</t>
  </si>
  <si>
    <t>Nuvani Institute</t>
  </si>
  <si>
    <t>Nuvo College of Cosmetology</t>
  </si>
  <si>
    <t>Nyack College</t>
  </si>
  <si>
    <t>O C Collins Career Center</t>
  </si>
  <si>
    <t>Oak Hills Christian College</t>
  </si>
  <si>
    <t>Oak Point University</t>
  </si>
  <si>
    <t>Oak Valley College</t>
  </si>
  <si>
    <t>Oakland City University</t>
  </si>
  <si>
    <t>Oakland Community College</t>
  </si>
  <si>
    <t>Oakland University</t>
  </si>
  <si>
    <t>Oakton Community College</t>
  </si>
  <si>
    <t>Oakwood University</t>
  </si>
  <si>
    <t>Oberlin College</t>
  </si>
  <si>
    <t>Oblate School of Theology</t>
  </si>
  <si>
    <t>O'Briens Aveda Institute</t>
  </si>
  <si>
    <t>Occidental College</t>
  </si>
  <si>
    <t>Ocean Corporation</t>
  </si>
  <si>
    <t>Ocean County College</t>
  </si>
  <si>
    <t>Ocean County Vocational-Technical School</t>
  </si>
  <si>
    <t>Oconee Fall Line Technical College</t>
  </si>
  <si>
    <t>Odessa College</t>
  </si>
  <si>
    <t>Oehrlein School of Cosmetology</t>
  </si>
  <si>
    <t>Ogden-Weber Technical College</t>
  </si>
  <si>
    <t>Ogeechee Technical College</t>
  </si>
  <si>
    <t>Oglala Lakota College</t>
  </si>
  <si>
    <t>Ogle School Hair Skin Nails-Arlington</t>
  </si>
  <si>
    <t>Ogle School Hair Skin Nails-Dallas</t>
  </si>
  <si>
    <t>Ogle School Hair Skin Nails-Denton</t>
  </si>
  <si>
    <t>Ogle School Hair Skin Nails-Ft Worth</t>
  </si>
  <si>
    <t>Ogle School Hair Skin Nails-Hurst</t>
  </si>
  <si>
    <t>Ogle School Hair Skin Nails-North Dallas</t>
  </si>
  <si>
    <t>Ogle School Hair Skin Nails-San Antonio</t>
  </si>
  <si>
    <t>Ogle School Hair Skin Nails-Stafford</t>
  </si>
  <si>
    <t>Ogle School Hair Skin Nails-Willowbrook</t>
  </si>
  <si>
    <t>Oglethorpe University</t>
  </si>
  <si>
    <t>Ohel Margulia Seminary</t>
  </si>
  <si>
    <t>Ohio Business College-Dayton-Driving Academy</t>
  </si>
  <si>
    <t>Ohio Business College-Sandusky</t>
  </si>
  <si>
    <t>Ohio Business College-Sheffield</t>
  </si>
  <si>
    <t>Ohio Christian University</t>
  </si>
  <si>
    <t>Ohio Dominican University</t>
  </si>
  <si>
    <t>Ohio Institute of Allied Health</t>
  </si>
  <si>
    <t>Ohio Media School-Cincinnati</t>
  </si>
  <si>
    <t>Ohio Media School-Columbus</t>
  </si>
  <si>
    <t>Ohio Media School-Valley View</t>
  </si>
  <si>
    <t>Ohio Medical Career College</t>
  </si>
  <si>
    <t>Ohio Northern University</t>
  </si>
  <si>
    <t>Ohio State Beauty Academy</t>
  </si>
  <si>
    <t>Ohio State College of Barber Styling</t>
  </si>
  <si>
    <t>Ohio State School of Cosmetology-Canal Winchester</t>
  </si>
  <si>
    <t>Ohio State School of Cosmetology-Heath</t>
  </si>
  <si>
    <t>Ohio State University Agricultural Technical Institute</t>
  </si>
  <si>
    <t>Ohio State University-Lima Campus</t>
  </si>
  <si>
    <t>Ohio State University-Main Campus</t>
  </si>
  <si>
    <t>Ohio State University-Mansfield Campus</t>
  </si>
  <si>
    <t>Ohio State University-Marion Campus</t>
  </si>
  <si>
    <t>Ohio State University-Newark Campus</t>
  </si>
  <si>
    <t>Ohio Technical College</t>
  </si>
  <si>
    <t>Ohio University-Chillicothe Campus</t>
  </si>
  <si>
    <t>Ohio University-Eastern Campus</t>
  </si>
  <si>
    <t>Ohio University-Lancaster Campus</t>
  </si>
  <si>
    <t>Ohio University-Main Campus</t>
  </si>
  <si>
    <t>Ohio University-Southern Campus</t>
  </si>
  <si>
    <t>Ohio University-Zanesville Campus</t>
  </si>
  <si>
    <t>Ohio Valley University</t>
  </si>
  <si>
    <t>Ohio Wesleyan University</t>
  </si>
  <si>
    <t>Ohlone College</t>
  </si>
  <si>
    <t>Ohr Hameir Theological Seminary</t>
  </si>
  <si>
    <t>Okaloosa Technical College</t>
  </si>
  <si>
    <t>Oklahoma Baptist University</t>
  </si>
  <si>
    <t>Oklahoma Christian University</t>
  </si>
  <si>
    <t>Oklahoma City Community College</t>
  </si>
  <si>
    <t>Oklahoma City University</t>
  </si>
  <si>
    <t>Oklahoma Panhandle State University</t>
  </si>
  <si>
    <t>Oklahoma State University Center for Health Sciences</t>
  </si>
  <si>
    <t>Oklahoma State University Institute of Technology</t>
  </si>
  <si>
    <t>Oklahoma State University-Main Campus</t>
  </si>
  <si>
    <t>Oklahoma State University-Oklahoma City</t>
  </si>
  <si>
    <t>Oklahoma Technical College</t>
  </si>
  <si>
    <t>Oklahoma Wesleyan University</t>
  </si>
  <si>
    <t>Old Dominion University</t>
  </si>
  <si>
    <t>Old Town Barber College-Wichita</t>
  </si>
  <si>
    <t>Oliver Finley Academy of Cosmetology</t>
  </si>
  <si>
    <t>Olivet College</t>
  </si>
  <si>
    <t>Olivet Nazarene University</t>
  </si>
  <si>
    <t>Olney Central College</t>
  </si>
  <si>
    <t>Olympian Academy of Cosmetology</t>
  </si>
  <si>
    <t>Olympic College</t>
  </si>
  <si>
    <t>Omega Graduate School</t>
  </si>
  <si>
    <t>Omega Institute of Cosmetology</t>
  </si>
  <si>
    <t>Omega Studios' School of Applied Recording Arts &amp; Sciences</t>
  </si>
  <si>
    <t>Omnitech Institute</t>
  </si>
  <si>
    <t>Onondaga Community College</t>
  </si>
  <si>
    <t>Onondaga Cortland Madison BOCES</t>
  </si>
  <si>
    <t>Onondaga School of Therapeutic Massage-Rochester</t>
  </si>
  <si>
    <t>Onondaga School of Therapeutic Massage-Syracuse</t>
  </si>
  <si>
    <t>Opelousas School of Cosmetology</t>
  </si>
  <si>
    <t>Oral Roberts University</t>
  </si>
  <si>
    <t>Orange Coast College</t>
  </si>
  <si>
    <t>Orange County Community College</t>
  </si>
  <si>
    <t>Orange Technical College-Mid Florida Campus</t>
  </si>
  <si>
    <t>Orange Technical College-Orlando Campus</t>
  </si>
  <si>
    <t>Orange Technical College-Westside Campus</t>
  </si>
  <si>
    <t>Orange Technical College-Winter Park Campus</t>
  </si>
  <si>
    <t>Orange Ulster BOCES-Practical Nursing Program</t>
  </si>
  <si>
    <t>Orangeburg Calhoun Technical College</t>
  </si>
  <si>
    <t>Oregon Coast Community College</t>
  </si>
  <si>
    <t>Oregon College of Oriental Medicine</t>
  </si>
  <si>
    <t>Oregon Health &amp; Science University</t>
  </si>
  <si>
    <t>Oregon Institute of Technology</t>
  </si>
  <si>
    <t>Oregon State University</t>
  </si>
  <si>
    <t>Oregon State University-Cascades Campus</t>
  </si>
  <si>
    <t>Orion Institute</t>
  </si>
  <si>
    <t>Orion Technical College</t>
  </si>
  <si>
    <t>Orleans Niagara BOCES-Practical Nursing Program</t>
  </si>
  <si>
    <t>Orleans Technical College</t>
  </si>
  <si>
    <t>Orlo School of Hair Design and Cosmetology</t>
  </si>
  <si>
    <t>Osceola Technical College</t>
  </si>
  <si>
    <t>Otero Junior College</t>
  </si>
  <si>
    <t>Otis College of Art and Design</t>
  </si>
  <si>
    <t>Otsego Area BOCES-Practical Nursing Program</t>
  </si>
  <si>
    <t>Ottawa University-Kansas City</t>
  </si>
  <si>
    <t>Ottawa University-Milwaukee</t>
  </si>
  <si>
    <t>Ottawa University-Online</t>
  </si>
  <si>
    <t>Ottawa University-Ottawa</t>
  </si>
  <si>
    <t>Ottawa University-Phoenix</t>
  </si>
  <si>
    <t>Ottawa University-Surprise</t>
  </si>
  <si>
    <t>Otterbein University</t>
  </si>
  <si>
    <t>Ouachita Baptist University</t>
  </si>
  <si>
    <t>Our Lady of the Lake University</t>
  </si>
  <si>
    <t>Owens Community College</t>
  </si>
  <si>
    <t>Owensboro Community and Technical College</t>
  </si>
  <si>
    <t>Oxford Academy of Hair Design Inc</t>
  </si>
  <si>
    <t>Oxnard College</t>
  </si>
  <si>
    <t>Ozark Christian College</t>
  </si>
  <si>
    <t>Ozarka College</t>
  </si>
  <si>
    <t>Ozarks Technical Community College</t>
  </si>
  <si>
    <t>P B Cosmetology Education Center</t>
  </si>
  <si>
    <t>P C Age-Jersey City</t>
  </si>
  <si>
    <t>P&amp;A Scholars Beauty School</t>
  </si>
  <si>
    <t>Pace University</t>
  </si>
  <si>
    <t>Pacific Bible College</t>
  </si>
  <si>
    <t>Pacific College</t>
  </si>
  <si>
    <t>Pacific College of Health and Science</t>
  </si>
  <si>
    <t>Pacific College of Health Science-Chicago</t>
  </si>
  <si>
    <t>Pacific Islands University</t>
  </si>
  <si>
    <t>Pacific Lutheran University</t>
  </si>
  <si>
    <t>Pacific Northwest College of Art</t>
  </si>
  <si>
    <t>Pacific Northwest University of Health Sciences</t>
  </si>
  <si>
    <t>Pacific Oaks College</t>
  </si>
  <si>
    <t>Pacific Rim Christian University</t>
  </si>
  <si>
    <t>Pacific School of Religion</t>
  </si>
  <si>
    <t>Pacific States University</t>
  </si>
  <si>
    <t>Pacific Union College</t>
  </si>
  <si>
    <t>Pacific University</t>
  </si>
  <si>
    <t>Pacifica Graduate Institute</t>
  </si>
  <si>
    <t>Paier College</t>
  </si>
  <si>
    <t>Paine College</t>
  </si>
  <si>
    <t>Palace Beauty College</t>
  </si>
  <si>
    <t>Palau Community College</t>
  </si>
  <si>
    <t>Palladium Technical Academy Inc</t>
  </si>
  <si>
    <t>Palm Beach Academy of Health &amp; Beauty</t>
  </si>
  <si>
    <t>Palm Beach Atlantic University</t>
  </si>
  <si>
    <t>Palm Beach State College</t>
  </si>
  <si>
    <t>Palmer College of Chiropractic</t>
  </si>
  <si>
    <t>Palo Alto College</t>
  </si>
  <si>
    <t>Palo Alto University</t>
  </si>
  <si>
    <t>Palo Verde College</t>
  </si>
  <si>
    <t>Palomar College</t>
  </si>
  <si>
    <t>Palomar Institute of Cosmetology</t>
  </si>
  <si>
    <t>Pamlico Community College</t>
  </si>
  <si>
    <t>Panache Academy of Beauty</t>
  </si>
  <si>
    <t>Panola College</t>
  </si>
  <si>
    <t>Paradise Valley Community College</t>
  </si>
  <si>
    <t>Paramount Beauty Academy</t>
  </si>
  <si>
    <t>Pardee RAND Graduate School</t>
  </si>
  <si>
    <t>Paris Junior College</t>
  </si>
  <si>
    <t>Parisian Beauty School</t>
  </si>
  <si>
    <t>Parisian Spa Institute</t>
  </si>
  <si>
    <t>Park Place Premier Barber School</t>
  </si>
  <si>
    <t>Park University</t>
  </si>
  <si>
    <t>Parker University</t>
  </si>
  <si>
    <t>Parkland College</t>
  </si>
  <si>
    <t>Paroba College of Cosmetology</t>
  </si>
  <si>
    <t>Pasadena City College</t>
  </si>
  <si>
    <t>Pasco-Hernando State College</t>
  </si>
  <si>
    <t>Passaic County Community College</t>
  </si>
  <si>
    <t>Pat Goins Benton Road Beauty School</t>
  </si>
  <si>
    <t>Pathway Vocational Academy</t>
  </si>
  <si>
    <t>Pathways College</t>
  </si>
  <si>
    <t>Patrick Henry College</t>
  </si>
  <si>
    <t>Patrick Henry Community College</t>
  </si>
  <si>
    <t>Paul D Camp Community College</t>
  </si>
  <si>
    <t>Paul Mitchell the School-Arkansas</t>
  </si>
  <si>
    <t>Paul Mitchell the School-Arlington</t>
  </si>
  <si>
    <t>Paul Mitchell the School-Atlanta</t>
  </si>
  <si>
    <t>Paul Mitchell the School-Austin</t>
  </si>
  <si>
    <t>Paul Mitchell the School-Birmingham</t>
  </si>
  <si>
    <t>Paul Mitchell the School-Boise</t>
  </si>
  <si>
    <t>Paul Mitchell the School-Bradley</t>
  </si>
  <si>
    <t>Paul Mitchell the School-Charleston</t>
  </si>
  <si>
    <t>Paul Mitchell the School-Chicago</t>
  </si>
  <si>
    <t>Paul Mitchell the School-Cincinnati</t>
  </si>
  <si>
    <t>Paul Mitchell the School-Clear Lake</t>
  </si>
  <si>
    <t>Paul Mitchell the School-Cleveland</t>
  </si>
  <si>
    <t>Paul Mitchell the School-Colorado Springs</t>
  </si>
  <si>
    <t>Paul Mitchell the School-Columbia</t>
  </si>
  <si>
    <t>Paul Mitchell the School-Columbus</t>
  </si>
  <si>
    <t>Paul Mitchell the School-Costa Mesa</t>
  </si>
  <si>
    <t>Paul Mitchell the School-Dallas</t>
  </si>
  <si>
    <t>Paul Mitchell the School-Delaware</t>
  </si>
  <si>
    <t>Paul Mitchell the School-Denver</t>
  </si>
  <si>
    <t>Paul Mitchell the School-East Bay</t>
  </si>
  <si>
    <t>Paul Mitchell the School-Esani</t>
  </si>
  <si>
    <t>Paul Mitchell The School-Farmington Hills</t>
  </si>
  <si>
    <t>Paul Mitchell the School-Fayetteville</t>
  </si>
  <si>
    <t>Paul Mitchell the School-Fort Lauderdale</t>
  </si>
  <si>
    <t>Paul Mitchell the School-Fort Myers</t>
  </si>
  <si>
    <t>Paul Mitchell the School-Fresno</t>
  </si>
  <si>
    <t>Paul Mitchell the School-Gastonia</t>
  </si>
  <si>
    <t>Paul Mitchell the School-Grand Rapids</t>
  </si>
  <si>
    <t>Paul Mitchell the School-Great Lakes</t>
  </si>
  <si>
    <t>Paul Mitchell the School-Greenville</t>
  </si>
  <si>
    <t>Paul Mitchell the School-Honolulu</t>
  </si>
  <si>
    <t>Paul Mitchell the School-Houston</t>
  </si>
  <si>
    <t>Paul Mitchell the School-Huntsville</t>
  </si>
  <si>
    <t>Paul Mitchell the School-Indianapolis</t>
  </si>
  <si>
    <t>Paul Mitchell the School-Jacksonville</t>
  </si>
  <si>
    <t>Paul Mitchell the School-Jersey Shore</t>
  </si>
  <si>
    <t>Paul Mitchell the School-Jessup</t>
  </si>
  <si>
    <t>Paul Mitchell the School-Knoxville</t>
  </si>
  <si>
    <t>Paul Mitchell the School-Las Vegas</t>
  </si>
  <si>
    <t>Paul Mitchell the School-Lexington</t>
  </si>
  <si>
    <t>Paul Mitchell the School-Little Rock</t>
  </si>
  <si>
    <t>Paul Mitchell the School-Logan</t>
  </si>
  <si>
    <t>Paul Mitchell the School-Lombard</t>
  </si>
  <si>
    <t>Paul Mitchell the School-Louisville</t>
  </si>
  <si>
    <t>Paul Mitchell the School-Madison</t>
  </si>
  <si>
    <t>Paul Mitchell the School-Memphis</t>
  </si>
  <si>
    <t>Paul Mitchell the School-Merrillville</t>
  </si>
  <si>
    <t>Paul Mitchell the School-Miami</t>
  </si>
  <si>
    <t>Paul Mitchell the School-Michigan</t>
  </si>
  <si>
    <t>Paul Mitchell the School-Milwaukee</t>
  </si>
  <si>
    <t>Paul Mitchell the School-Missouri Columbia</t>
  </si>
  <si>
    <t>Paul Mitchell the School-Modesto</t>
  </si>
  <si>
    <t>Paul Mitchell the School-Murfreesboro</t>
  </si>
  <si>
    <t>Paul Mitchell the School-Murfreesboro-Nashville</t>
  </si>
  <si>
    <t>Paul Mitchell the School-Nampa</t>
  </si>
  <si>
    <t>Paul Mitchell the School-Normal</t>
  </si>
  <si>
    <t>Paul Mitchell the School-North Haven</t>
  </si>
  <si>
    <t>Paul Mitchell the School-Ogden</t>
  </si>
  <si>
    <t>Paul Mitchell the School-Orlando</t>
  </si>
  <si>
    <t>Paul Mitchell the School-Overland Park</t>
  </si>
  <si>
    <t>Paul Mitchell the School-Pasadena</t>
  </si>
  <si>
    <t>Paul Mitchell the School-Phoenix</t>
  </si>
  <si>
    <t>Paul Mitchell the School-Portsmouth</t>
  </si>
  <si>
    <t>Paul Mitchell the School-Raleigh</t>
  </si>
  <si>
    <t>Paul Mitchell the School-Rapid City</t>
  </si>
  <si>
    <t>Paul Mitchell the School-Reno</t>
  </si>
  <si>
    <t>Paul Mitchell the School-Reno-North Tahoe</t>
  </si>
  <si>
    <t>Paul Mitchell the School-Rexburg</t>
  </si>
  <si>
    <t>Paul Mitchell the School-Rhode Island</t>
  </si>
  <si>
    <t>Paul Mitchell the School-Richland</t>
  </si>
  <si>
    <t>Paul Mitchell the School-Richland-Provo</t>
  </si>
  <si>
    <t>Paul Mitchell the School-Roanoke</t>
  </si>
  <si>
    <t>Paul Mitchell the School-Sacramento</t>
  </si>
  <si>
    <t>Paul Mitchell the School-Salt Lake City</t>
  </si>
  <si>
    <t>Paul Mitchell the School-San Antonio</t>
  </si>
  <si>
    <t>Paul Mitchell the School-San Diego</t>
  </si>
  <si>
    <t>Paul Mitchell the School-San Jose</t>
  </si>
  <si>
    <t>Paul Mitchell the School-Schenectady</t>
  </si>
  <si>
    <t>Paul Mitchell the School-Sherman Oaks</t>
  </si>
  <si>
    <t>Paul Mitchell the School-Spokane</t>
  </si>
  <si>
    <t>Paul Mitchell the School-Springfield</t>
  </si>
  <si>
    <t>Paul Mitchell the School-St Louis</t>
  </si>
  <si>
    <t>Paul Mitchell the School-St. George</t>
  </si>
  <si>
    <t>Paul Mitchell the School-Tampa</t>
  </si>
  <si>
    <t>Paul Mitchell the School-Temecula</t>
  </si>
  <si>
    <t>Paul Mitchell the School-Toledo</t>
  </si>
  <si>
    <t>Paul Mitchell the School-Tulsa</t>
  </si>
  <si>
    <t>Paul Mitchell the School-Twin Falls</t>
  </si>
  <si>
    <t>Paul Mitchell the School-Tysons Corner</t>
  </si>
  <si>
    <t>Paul Mitchell the School-Wichita</t>
  </si>
  <si>
    <t>Paul Mitchell the School-Woodbridge</t>
  </si>
  <si>
    <t>Paul Quinn College</t>
  </si>
  <si>
    <t>Paul Smiths College of Arts and Science</t>
  </si>
  <si>
    <t>Payne Theological Seminary</t>
  </si>
  <si>
    <t>PC AGE-Metropark</t>
  </si>
  <si>
    <t>PCI Academy-Ames</t>
  </si>
  <si>
    <t>PCI Academy-Iowa City</t>
  </si>
  <si>
    <t>PCI Academy-Plymouth</t>
  </si>
  <si>
    <t>PCI College</t>
  </si>
  <si>
    <t>PCI Health Training Center</t>
  </si>
  <si>
    <t>Pearl River Community College</t>
  </si>
  <si>
    <t>Pearlands Innovative School of Beauty</t>
  </si>
  <si>
    <t>Peirce College</t>
  </si>
  <si>
    <t>Pellissippi State Community College</t>
  </si>
  <si>
    <t>Peloton College</t>
  </si>
  <si>
    <t>Peninsula College</t>
  </si>
  <si>
    <t>Penn Commercial Business/Technical School</t>
  </si>
  <si>
    <t>Pennco Tech-Blackwood</t>
  </si>
  <si>
    <t>Pennco Tech-Bristol</t>
  </si>
  <si>
    <t>Pennsylvania Academy of the Fine Arts</t>
  </si>
  <si>
    <t>Pennsylvania College of Art and Design</t>
  </si>
  <si>
    <t>Pennsylvania College of Health Sciences</t>
  </si>
  <si>
    <t>Pennsylvania College of Technology</t>
  </si>
  <si>
    <t>Pennsylvania Gunsmith School</t>
  </si>
  <si>
    <t>Pennsylvania Highlands Community College</t>
  </si>
  <si>
    <t>Pennsylvania Institute of Technology</t>
  </si>
  <si>
    <t>Pennsylvania State System of Higher Education-Central Office</t>
  </si>
  <si>
    <t>Penrose Academy</t>
  </si>
  <si>
    <t>Pensacola School of Massage Therapy &amp; Health Careers</t>
  </si>
  <si>
    <t>Pensacola State College</t>
  </si>
  <si>
    <t>Penta County Joint Vocational School</t>
  </si>
  <si>
    <t>Pentecostal Theological Seminary</t>
  </si>
  <si>
    <t>Pepperdine University</t>
  </si>
  <si>
    <t>Peralta Community College System Office</t>
  </si>
  <si>
    <t>Perry Technical Institute</t>
  </si>
  <si>
    <t>Peru State College</t>
  </si>
  <si>
    <t>Pets Playground Grooming School</t>
  </si>
  <si>
    <t>Pfeiffer University</t>
  </si>
  <si>
    <t>Phagans Beauty College</t>
  </si>
  <si>
    <t>Phagans Central Oregon Beauty College</t>
  </si>
  <si>
    <t>Phagans Grants Pass College of Beauty</t>
  </si>
  <si>
    <t>Phagans Medford Beauty School</t>
  </si>
  <si>
    <t>Phagans School of Beauty</t>
  </si>
  <si>
    <t>Phagans School of Hair Design</t>
  </si>
  <si>
    <t>Philadelphia College of Osteopathic Medicine</t>
  </si>
  <si>
    <t>Philadelphia Technician Training</t>
  </si>
  <si>
    <t>Philander Smith College</t>
  </si>
  <si>
    <t>Phillips Community College of the University of Arkansas</t>
  </si>
  <si>
    <t>Phillips School of Nursing at Mount Sinai Beth Israel</t>
  </si>
  <si>
    <t>Phillips Theological Seminary</t>
  </si>
  <si>
    <t>Phipps Academy of Barbering</t>
  </si>
  <si>
    <t>Phoenix College</t>
  </si>
  <si>
    <t>Phoenix Institute of Herbal Medicine &amp; Acupuncture</t>
  </si>
  <si>
    <t>Phoenix Seminary</t>
  </si>
  <si>
    <t>PiBerry Institute</t>
  </si>
  <si>
    <t>Pickaway Ross Joint Vocational School District</t>
  </si>
  <si>
    <t>Pickens Technical College</t>
  </si>
  <si>
    <t>Piedmont Community College</t>
  </si>
  <si>
    <t>Piedmont Technical College</t>
  </si>
  <si>
    <t>Piedmont University</t>
  </si>
  <si>
    <t>Piedmont Virginia Community College</t>
  </si>
  <si>
    <t>Pierce College District</t>
  </si>
  <si>
    <t>Pierpont Community and Technical College</t>
  </si>
  <si>
    <t>Pike County Joint Vocational School District</t>
  </si>
  <si>
    <t>Pike-Lincoln Technical Center</t>
  </si>
  <si>
    <t>Pikes Peak Community College</t>
  </si>
  <si>
    <t>Pillar College</t>
  </si>
  <si>
    <t>Pima Community College</t>
  </si>
  <si>
    <t>Pima Medical Institute-Albuquerque</t>
  </si>
  <si>
    <t>Pima Medical Institute-Albuquerque West</t>
  </si>
  <si>
    <t>Pima Medical Institute-Aurora</t>
  </si>
  <si>
    <t>Pima Medical Institute-Chula Vista</t>
  </si>
  <si>
    <t>Pima Medical Institute-Colorado Springs</t>
  </si>
  <si>
    <t>Pima Medical Institute-Denver</t>
  </si>
  <si>
    <t>Pima Medical Institute-Dillon</t>
  </si>
  <si>
    <t>Pima Medical Institute-East Valley</t>
  </si>
  <si>
    <t>Pima Medical Institute-El Paso</t>
  </si>
  <si>
    <t>Pima Medical Institute-Houston</t>
  </si>
  <si>
    <t>Pima Medical Institute-Las Vegas</t>
  </si>
  <si>
    <t>Pima Medical Institute-Mesa</t>
  </si>
  <si>
    <t>Pima Medical Institute-Phoenix</t>
  </si>
  <si>
    <t>Pima Medical Institute-Renton</t>
  </si>
  <si>
    <t>Pima Medical Institute-San Antonio</t>
  </si>
  <si>
    <t>Pima Medical Institute-San Marcos</t>
  </si>
  <si>
    <t>Pima Medical Institute-Seattle</t>
  </si>
  <si>
    <t>Pima Medical Institute-Tucson</t>
  </si>
  <si>
    <t>Pine Manor College</t>
  </si>
  <si>
    <t>Pine Technical &amp; Community College</t>
  </si>
  <si>
    <t>Pinellas Technical College-Clearwater</t>
  </si>
  <si>
    <t>Pinellas Technical College-St. Petersburg</t>
  </si>
  <si>
    <t>Pineville Beauty School</t>
  </si>
  <si>
    <t>Pinnacle Career Institute</t>
  </si>
  <si>
    <t>Pinnacle Institute of Cosmetology</t>
  </si>
  <si>
    <t>Pioneer Career and Technology Center</t>
  </si>
  <si>
    <t>Pioneer Technology Center</t>
  </si>
  <si>
    <t>Pipo Academy of Hair Design</t>
  </si>
  <si>
    <t>PITC Institute</t>
  </si>
  <si>
    <t>Pitt Community College</t>
  </si>
  <si>
    <t>Pittsburg State University</t>
  </si>
  <si>
    <t>Pittsburgh Career Institute</t>
  </si>
  <si>
    <t>Pittsburgh Institute of Aeronautics</t>
  </si>
  <si>
    <t>Pittsburgh Institute of Mortuary Science Inc</t>
  </si>
  <si>
    <t>Pittsburgh Technical College</t>
  </si>
  <si>
    <t>Pittsburgh Theological Seminary</t>
  </si>
  <si>
    <t>Pitzer College</t>
  </si>
  <si>
    <t>Pivot Point Academy</t>
  </si>
  <si>
    <t>PJ's College of Cosmetology-Bowling Green</t>
  </si>
  <si>
    <t>PJ's College of Cosmetology-Clarksville</t>
  </si>
  <si>
    <t>PJ's College of Cosmetology-Glasgow</t>
  </si>
  <si>
    <t>PJ's College of Cosmetology-Richmond</t>
  </si>
  <si>
    <t>Platt College-Anaheim</t>
  </si>
  <si>
    <t>Platt College-Aurora</t>
  </si>
  <si>
    <t>Platt College-Los Angeles</t>
  </si>
  <si>
    <t>Platt College-Ontario</t>
  </si>
  <si>
    <t>Platt College-Riverside</t>
  </si>
  <si>
    <t>Platt College-San Diego</t>
  </si>
  <si>
    <t>Plaza College</t>
  </si>
  <si>
    <t>Plymouth State University</t>
  </si>
  <si>
    <t>PMCA Pittsburgh Multicultural Cosmetology Academy</t>
  </si>
  <si>
    <t>Point Loma Nazarene University</t>
  </si>
  <si>
    <t>Point Park University</t>
  </si>
  <si>
    <t>Point University</t>
  </si>
  <si>
    <t>Polaris Career Center</t>
  </si>
  <si>
    <t>Polk State College</t>
  </si>
  <si>
    <t>Polytech Adult Education</t>
  </si>
  <si>
    <t>Polytechnic University of Puerto Rico-Miami</t>
  </si>
  <si>
    <t>Polytechnic University of Puerto Rico-Orlando</t>
  </si>
  <si>
    <t>Pomeroy College of Nursing at Crouse Hospital</t>
  </si>
  <si>
    <t>Pomona College</t>
  </si>
  <si>
    <t>Pomona Unified School District Adult and Career Education</t>
  </si>
  <si>
    <t>Ponca City Beauty College</t>
  </si>
  <si>
    <t>Ponce Health Sciences University</t>
  </si>
  <si>
    <t>Ponce Health Sciences University-Centro Universitario de San Juan</t>
  </si>
  <si>
    <t>Ponce Health Sciences University-East</t>
  </si>
  <si>
    <t>Ponce Health Sciences University-St Louis</t>
  </si>
  <si>
    <t>Pontifical Catholic University of Puerto Rico-Arecibo</t>
  </si>
  <si>
    <t>Pontifical Catholic University of Puerto Rico-Mayaguez</t>
  </si>
  <si>
    <t>Pontifical Catholic University of Puerto Rico-Ponce</t>
  </si>
  <si>
    <t>Pontifical College Josephinum</t>
  </si>
  <si>
    <t>Pontifical Faculty of the Immaculate Conception at the Dominican House of Studies</t>
  </si>
  <si>
    <t>Pontifical John Paul II Institute for Studies on Marriage and Family</t>
  </si>
  <si>
    <t>Pontotoc Technology Center</t>
  </si>
  <si>
    <t>Pope St John XXIII National Seminary</t>
  </si>
  <si>
    <t>Poplar Bluff Technical Career Center</t>
  </si>
  <si>
    <t>Port Huron Cosmetology College</t>
  </si>
  <si>
    <t>Portage Lakes Career Center</t>
  </si>
  <si>
    <t>Porter and Chester Institute</t>
  </si>
  <si>
    <t>Porter and Chester Institute of Hamden</t>
  </si>
  <si>
    <t>Porterville College</t>
  </si>
  <si>
    <t>Portland Actors Conservatory</t>
  </si>
  <si>
    <t>Portland Community College</t>
  </si>
  <si>
    <t>Portland State University</t>
  </si>
  <si>
    <t>Post University</t>
  </si>
  <si>
    <t>Potomac State College of West Virginia University</t>
  </si>
  <si>
    <t>Poway Adult School</t>
  </si>
  <si>
    <t>PPG Technical College</t>
  </si>
  <si>
    <t>Prairie State College</t>
  </si>
  <si>
    <t>Prairie View A &amp; M University</t>
  </si>
  <si>
    <t>Pratt Community College</t>
  </si>
  <si>
    <t>Pratt Institute-Main</t>
  </si>
  <si>
    <t>Praxis Institute</t>
  </si>
  <si>
    <t>Precision Manufacturing Institute</t>
  </si>
  <si>
    <t>Premier Academy of Cosmetology</t>
  </si>
  <si>
    <t>Premier Barber Institute</t>
  </si>
  <si>
    <t>Premiere Aesthetics Institute</t>
  </si>
  <si>
    <t>Premiere Career College</t>
  </si>
  <si>
    <t>Premiere International College</t>
  </si>
  <si>
    <t>Presbyterian College</t>
  </si>
  <si>
    <t>Presbyterian Theological Seminary in America</t>
  </si>
  <si>
    <t>Prescott College</t>
  </si>
  <si>
    <t>Presentation College</t>
  </si>
  <si>
    <t>Presidio Graduate School</t>
  </si>
  <si>
    <t>Prestige Health &amp; Beauty Sciences Academy</t>
  </si>
  <si>
    <t>Prince George's Community College</t>
  </si>
  <si>
    <t>Princess Institute of Beauty</t>
  </si>
  <si>
    <t>Princeton Theological Seminary</t>
  </si>
  <si>
    <t>Princeton University</t>
  </si>
  <si>
    <t>Principia College</t>
  </si>
  <si>
    <t>Prism Career Institute-Cherry Hill</t>
  </si>
  <si>
    <t>Prism Career Institute-Philadelphia</t>
  </si>
  <si>
    <t>Prism Career Institute-West Atlantic City</t>
  </si>
  <si>
    <t>Pro Beauty Academy</t>
  </si>
  <si>
    <t>Pro Way Hair School</t>
  </si>
  <si>
    <t>Professional Academy of Cosmetology</t>
  </si>
  <si>
    <t>Professional Cosmetology Education Center</t>
  </si>
  <si>
    <t>Professional Culinary Academy</t>
  </si>
  <si>
    <t>Professional Golfers Career College</t>
  </si>
  <si>
    <t>Professional Institute of Beauty</t>
  </si>
  <si>
    <t>Professional Skills Institute</t>
  </si>
  <si>
    <t>Professional Technical Institution</t>
  </si>
  <si>
    <t>Professional's Choice Hair Design Academy</t>
  </si>
  <si>
    <t>Profile Institute of Barber-Styling</t>
  </si>
  <si>
    <t>Protege Academy</t>
  </si>
  <si>
    <t>Providence Christian College</t>
  </si>
  <si>
    <t>Providence College</t>
  </si>
  <si>
    <t>Provo College</t>
  </si>
  <si>
    <t>Provo College-Idaho Falls Campus</t>
  </si>
  <si>
    <t>Pueblo Community College</t>
  </si>
  <si>
    <t>Puerto Rico School of Nurse Anesthetists</t>
  </si>
  <si>
    <t>Purdue University Fort Wayne</t>
  </si>
  <si>
    <t>Purdue University Global</t>
  </si>
  <si>
    <t>Purdue University Northwest</t>
  </si>
  <si>
    <t>Purdue University-Main Campus</t>
  </si>
  <si>
    <t>Pure Aesthetics Natural Skincare School</t>
  </si>
  <si>
    <t>Putnam Career and Technical Center</t>
  </si>
  <si>
    <t>Quality Technical and Beauty College</t>
  </si>
  <si>
    <t>Queen City College</t>
  </si>
  <si>
    <t>Queens University of Charlotte</t>
  </si>
  <si>
    <t>Quest College</t>
  </si>
  <si>
    <t>Quincy College</t>
  </si>
  <si>
    <t>Quincy University</t>
  </si>
  <si>
    <t>Quinebaug Valley Community College</t>
  </si>
  <si>
    <t>Quinnipiac University</t>
  </si>
  <si>
    <t>Quinsigamond Community College</t>
  </si>
  <si>
    <t>Rabbi Jacob Joseph School</t>
  </si>
  <si>
    <t>Rabbinical Academy Mesivta Rabbi Chaim Berlin</t>
  </si>
  <si>
    <t>Rabbinical College Beth Shraga</t>
  </si>
  <si>
    <t>Rabbinical College Bobover Yeshiva Bnei Zion</t>
  </si>
  <si>
    <t>Rabbinical College of America</t>
  </si>
  <si>
    <t>Rabbinical College of Long Island</t>
  </si>
  <si>
    <t>Rabbinical College of Ohr Shimon Yisroel</t>
  </si>
  <si>
    <t>Rabbinical College Ohr Yisroel</t>
  </si>
  <si>
    <t>Rabbinical College Telshe</t>
  </si>
  <si>
    <t>Rabbinical Seminary Mkor Chaim</t>
  </si>
  <si>
    <t>Rabbinical Seminary of America</t>
  </si>
  <si>
    <t>Radford M Locklin Technical College</t>
  </si>
  <si>
    <t>Radford University</t>
  </si>
  <si>
    <t>Rainy River Community College</t>
  </si>
  <si>
    <t>Ralph R Willis Career and Technical Center</t>
  </si>
  <si>
    <t>Ramapo College of New Jersey</t>
  </si>
  <si>
    <t>Rancho Santiago Community College District Office</t>
  </si>
  <si>
    <t>Randall University</t>
  </si>
  <si>
    <t>Randolph College</t>
  </si>
  <si>
    <t>Randolph Community College</t>
  </si>
  <si>
    <t>Randolph Technical Center</t>
  </si>
  <si>
    <t>Randolph-Macon College</t>
  </si>
  <si>
    <t>Ranger College</t>
  </si>
  <si>
    <t>Ranken Technical College</t>
  </si>
  <si>
    <t>Raphael's School of Beauty Culture Inc-Alliance</t>
  </si>
  <si>
    <t>Raphael's School of Beauty Culture Inc-Boardman</t>
  </si>
  <si>
    <t>Raphael's School of Beauty Culture Inc-Brunswick</t>
  </si>
  <si>
    <t>Raphael's School of Beauty Culture Inc-Niles</t>
  </si>
  <si>
    <t>Rappahannock Community College</t>
  </si>
  <si>
    <t>Raritan Valley Community College</t>
  </si>
  <si>
    <t>Rasmussen University-Florida</t>
  </si>
  <si>
    <t>Rasmussen University-Illinois</t>
  </si>
  <si>
    <t>Rasmussen University-Kansas</t>
  </si>
  <si>
    <t>Rasmussen University-Minnesota</t>
  </si>
  <si>
    <t>Rasmussen University-North Dakota</t>
  </si>
  <si>
    <t>Rasmussen University-Wisconsin</t>
  </si>
  <si>
    <t>Ravenscroft Beauty College</t>
  </si>
  <si>
    <t>Ray J's College of Hair</t>
  </si>
  <si>
    <t>Reading Area Community College</t>
  </si>
  <si>
    <t>Reading Hospital School of Health Sciences</t>
  </si>
  <si>
    <t>Reconstructionist Rabbinical College</t>
  </si>
  <si>
    <t>Red Lake Nation College</t>
  </si>
  <si>
    <t>Red River Technology Center</t>
  </si>
  <si>
    <t>Red Rocks Community College</t>
  </si>
  <si>
    <t>Redlands Community College</t>
  </si>
  <si>
    <t>Redondo Beach Beauty College</t>
  </si>
  <si>
    <t>Reed College</t>
  </si>
  <si>
    <t>Reedley College</t>
  </si>
  <si>
    <t>Reflections Academy of Beauty</t>
  </si>
  <si>
    <t>Reformed University</t>
  </si>
  <si>
    <t>Refrigeration School Inc</t>
  </si>
  <si>
    <t>Regan Career Institute</t>
  </si>
  <si>
    <t>Regent University</t>
  </si>
  <si>
    <t>Regina Webb Academy</t>
  </si>
  <si>
    <t>Regional Center for Border Health</t>
  </si>
  <si>
    <t>Regis College</t>
  </si>
  <si>
    <t>Regis University</t>
  </si>
  <si>
    <t>Reid State Technical College</t>
  </si>
  <si>
    <t>Reinhardt University</t>
  </si>
  <si>
    <t>Reiss-Davis Graduate School</t>
  </si>
  <si>
    <t>Relay Graduate School of Education</t>
  </si>
  <si>
    <t>Remington College-Baton Rouge Campus</t>
  </si>
  <si>
    <t>Remington College-Cleveland Campus</t>
  </si>
  <si>
    <t>Remington College-Dallas Campus</t>
  </si>
  <si>
    <t>Remington College-Fort Worth Campus</t>
  </si>
  <si>
    <t>Remington College-Houston Southeast Campus</t>
  </si>
  <si>
    <t>Remington College-Knoxville</t>
  </si>
  <si>
    <t>Remington College-Lafayette Campus</t>
  </si>
  <si>
    <t>Remington College-Little Rock Campus</t>
  </si>
  <si>
    <t>Remington College-Memphis Campus</t>
  </si>
  <si>
    <t>Remington College-Mobile Campus</t>
  </si>
  <si>
    <t>Remington College-Nashville Campus</t>
  </si>
  <si>
    <t>Remington College-North Houston Campus</t>
  </si>
  <si>
    <t>Remington College-Shreveport Campus</t>
  </si>
  <si>
    <t>Renaissance Academie</t>
  </si>
  <si>
    <t>Rend Lake College</t>
  </si>
  <si>
    <t>Rensselaer at Hartford</t>
  </si>
  <si>
    <t>Rensselaer Polytechnic Institute</t>
  </si>
  <si>
    <t>Renton Technical College</t>
  </si>
  <si>
    <t>Research College of Nursing</t>
  </si>
  <si>
    <t>Rexburg College of Massage Therapy</t>
  </si>
  <si>
    <t>Rhode Island College</t>
  </si>
  <si>
    <t>Rhode Island School of Design</t>
  </si>
  <si>
    <t>Rhodes College</t>
  </si>
  <si>
    <t>Ricci's Toni &amp; Guy Hairdressing Academy/TIGI Creative School</t>
  </si>
  <si>
    <t>Rice University</t>
  </si>
  <si>
    <t>Richard Bland College</t>
  </si>
  <si>
    <t>Richland Community College</t>
  </si>
  <si>
    <t>Richmond Community College</t>
  </si>
  <si>
    <t>Richmont Graduate University</t>
  </si>
  <si>
    <t>Richport Technical College</t>
  </si>
  <si>
    <t>Rider University</t>
  </si>
  <si>
    <t>Ridge Technical College</t>
  </si>
  <si>
    <t>Ridgewater College</t>
  </si>
  <si>
    <t>Riggins Urban Barber College</t>
  </si>
  <si>
    <t>Ringling College of Art and Design</t>
  </si>
  <si>
    <t>Rio Grande Valley College</t>
  </si>
  <si>
    <t>Rio Hondo College</t>
  </si>
  <si>
    <t>Rio Salado College</t>
  </si>
  <si>
    <t>Ripon College</t>
  </si>
  <si>
    <t>River Parishes Community College</t>
  </si>
  <si>
    <t>River Valley Community College</t>
  </si>
  <si>
    <t>River Valley School of Massage</t>
  </si>
  <si>
    <t>Riverland Community College</t>
  </si>
  <si>
    <t>Riveroak Technical College</t>
  </si>
  <si>
    <t>Riverside City College</t>
  </si>
  <si>
    <t>Riverside College of Health Careers</t>
  </si>
  <si>
    <t>Riverside County Office of Education-School of Career Education</t>
  </si>
  <si>
    <t>Rivertown School of Beauty Barber Skin Care and Nails</t>
  </si>
  <si>
    <t>Rivier University</t>
  </si>
  <si>
    <t>Rizzieri Aveda School for Beauty and Wellness</t>
  </si>
  <si>
    <t>Roane State Community College</t>
  </si>
  <si>
    <t>Roane-Jackson Technical Center</t>
  </si>
  <si>
    <t>Roanoke College</t>
  </si>
  <si>
    <t>Roanoke-Chowan Community College</t>
  </si>
  <si>
    <t>Rob Roy Academy-Fall River</t>
  </si>
  <si>
    <t>Rob Roy Academy-New Bedford</t>
  </si>
  <si>
    <t>Rob Roy Academy-Taunton</t>
  </si>
  <si>
    <t>Rob Roy Academy-Worcester</t>
  </si>
  <si>
    <t>Robert Fiance Beauty Schools</t>
  </si>
  <si>
    <t>Robert Fiance Beauty Schools-North Plainfield</t>
  </si>
  <si>
    <t>Robert Fiance Beauty Schools-West New York</t>
  </si>
  <si>
    <t>Robert Morgan Educational Center and Technical College</t>
  </si>
  <si>
    <t>Robert Morris University</t>
  </si>
  <si>
    <t>Robert Paul Academy of Cosmetology Arts &amp; Sciences</t>
  </si>
  <si>
    <t>Roberto-Venn School of Luthiery</t>
  </si>
  <si>
    <t>Roberts Wesleyan College</t>
  </si>
  <si>
    <t>Robeson Community College</t>
  </si>
  <si>
    <t>Rochester Community and Technical College</t>
  </si>
  <si>
    <t>Rochester Institute of Technology</t>
  </si>
  <si>
    <t>Rochester University</t>
  </si>
  <si>
    <t>Rock Valley College</t>
  </si>
  <si>
    <t>Rockefeller University</t>
  </si>
  <si>
    <t>Rockford University</t>
  </si>
  <si>
    <t>Rockhurst University</t>
  </si>
  <si>
    <t>Rockingham Community College</t>
  </si>
  <si>
    <t>Rockland Community College</t>
  </si>
  <si>
    <t>Rockland County BOCES-Practical Nursing Program</t>
  </si>
  <si>
    <t>Rocky Mountain College</t>
  </si>
  <si>
    <t>Rocky Mountain College of Art and Design</t>
  </si>
  <si>
    <t>Rocky Mountain University of Health Professions</t>
  </si>
  <si>
    <t>Rocky Vista University</t>
  </si>
  <si>
    <t>Roger Williams University</t>
  </si>
  <si>
    <t>Roger Williams University School of Law</t>
  </si>
  <si>
    <t>Rogers Academy of Hair Design</t>
  </si>
  <si>
    <t>Rogers State University</t>
  </si>
  <si>
    <t>Rogue Community College</t>
  </si>
  <si>
    <t>Rolla Technical Institute/Center</t>
  </si>
  <si>
    <t>Rollins College</t>
  </si>
  <si>
    <t>Roosevelt University</t>
  </si>
  <si>
    <t>Rosalind Franklin University of Medicine and Science</t>
  </si>
  <si>
    <t>Rose State College</t>
  </si>
  <si>
    <t>Rosedale Bible College</t>
  </si>
  <si>
    <t>Rosedale Technical College</t>
  </si>
  <si>
    <t>Rose-Hulman Institute of Technology</t>
  </si>
  <si>
    <t>Rosel School of Cosmetology</t>
  </si>
  <si>
    <t>Roseman University of Health Sciences</t>
  </si>
  <si>
    <t>Rosemead Beauty School</t>
  </si>
  <si>
    <t>Rosemont College</t>
  </si>
  <si>
    <t>Ross College-Canton</t>
  </si>
  <si>
    <t>Ross College-Davenport</t>
  </si>
  <si>
    <t>Ross College-Grand Rapids North</t>
  </si>
  <si>
    <t>Ross College-Hopkinsville</t>
  </si>
  <si>
    <t>Ross College-Sylvania</t>
  </si>
  <si>
    <t>Ross Medical Education Center - Kalamazoo</t>
  </si>
  <si>
    <t>Ross Medical Education Center-Ann Arbor</t>
  </si>
  <si>
    <t>Ross Medical Education Center-Battle Creek</t>
  </si>
  <si>
    <t>Ross Medical Education Center-Bowling Green</t>
  </si>
  <si>
    <t>Ross Medical Education Center-Brighton</t>
  </si>
  <si>
    <t>Ross Medical Education Center-Canton</t>
  </si>
  <si>
    <t>Ross Medical Education Center-Charleston</t>
  </si>
  <si>
    <t>Ross Medical Education Center-Cincinnati</t>
  </si>
  <si>
    <t>Ross Medical Education Center-Davison</t>
  </si>
  <si>
    <t>Ross Medical Education Center-Dayton</t>
  </si>
  <si>
    <t>Ross Medical Education Center-Elyria</t>
  </si>
  <si>
    <t>Ross Medical Education Center-Erlanger</t>
  </si>
  <si>
    <t>Ross Medical Education Center-Evansville</t>
  </si>
  <si>
    <t>Ross Medical Education Center-Flint</t>
  </si>
  <si>
    <t>Ross Medical Education Center-Fort Wayne</t>
  </si>
  <si>
    <t>Ross Medical Education Center-Granger</t>
  </si>
  <si>
    <t>Ross Medical Education Center-Huntsville</t>
  </si>
  <si>
    <t>Ross Medical Education Center-Johnson City</t>
  </si>
  <si>
    <t>Ross Medical Education Center-Kentwood</t>
  </si>
  <si>
    <t>Ross Medical Education Center-Knoxville</t>
  </si>
  <si>
    <t>Ross Medical Education Center-Kokomo</t>
  </si>
  <si>
    <t>Ross Medical Education Center-Lafayette</t>
  </si>
  <si>
    <t>Ross Medical Education Center-Lansing</t>
  </si>
  <si>
    <t>Ross Medical Education Center-Midland</t>
  </si>
  <si>
    <t>Ross Medical Education Center-Morgantown</t>
  </si>
  <si>
    <t>Ross Medical Education Center-Muncie</t>
  </si>
  <si>
    <t>Ross Medical Education Center-New Baltimore</t>
  </si>
  <si>
    <t>Ross Medical Education Center-Niles</t>
  </si>
  <si>
    <t>Ross Medical Education Center-Ontario</t>
  </si>
  <si>
    <t>Ross Medical Education Center-Owensboro</t>
  </si>
  <si>
    <t>Ross Medical Education Center-Port Huron</t>
  </si>
  <si>
    <t>Ross Medical Education Center-Roosevelt Park</t>
  </si>
  <si>
    <t>Ross Medical Education Center-Saginaw</t>
  </si>
  <si>
    <t>Ross Medical Education Center-Taylor</t>
  </si>
  <si>
    <t>Ross Medical Education Center-Warren</t>
  </si>
  <si>
    <t>Rosslyn Training Academy of Cosmetology</t>
  </si>
  <si>
    <t>Rowan College at Burlington County</t>
  </si>
  <si>
    <t>Rowan College of South Jersey Gloucester Campus</t>
  </si>
  <si>
    <t>Rowan College South Jersey Cumberland Campus</t>
  </si>
  <si>
    <t>Rowan University</t>
  </si>
  <si>
    <t>Rowan-Cabarrus Community College</t>
  </si>
  <si>
    <t>Roxborough Memorial Hospital School of Nursing</t>
  </si>
  <si>
    <t>Roxbury Community College</t>
  </si>
  <si>
    <t>Royal Learning Institute</t>
  </si>
  <si>
    <t>Ruben's Five Star Academy</t>
  </si>
  <si>
    <t>Rudae's School of Beauty Culture-Ft Wayne</t>
  </si>
  <si>
    <t>Rudy &amp; Kelly Academy, A Paul Mitchell Partner School</t>
  </si>
  <si>
    <t>Rush University</t>
  </si>
  <si>
    <t>Russell Sage College</t>
  </si>
  <si>
    <t>Rust College</t>
  </si>
  <si>
    <t>Rutgers University-Camden</t>
  </si>
  <si>
    <t>Rutgers University-New Brunswick</t>
  </si>
  <si>
    <t>Rutgers University-Newark</t>
  </si>
  <si>
    <t>SABER College</t>
  </si>
  <si>
    <t>Sacramento City College</t>
  </si>
  <si>
    <t>Sacramento Ultrasound Institute</t>
  </si>
  <si>
    <t>Sacred Heart Major Seminary</t>
  </si>
  <si>
    <t>Sacred Heart Seminary and School of Theology</t>
  </si>
  <si>
    <t>Sacred Heart University</t>
  </si>
  <si>
    <t>Saddleback College</t>
  </si>
  <si>
    <t>SAE Expression College</t>
  </si>
  <si>
    <t>SAE Institute of Technology-Atlanta</t>
  </si>
  <si>
    <t>SAE Institute of Technology-Chicago</t>
  </si>
  <si>
    <t>SAE Institute of Technology-Miami</t>
  </si>
  <si>
    <t>SAE Institute of Technology-Nashville</t>
  </si>
  <si>
    <t>SAE Institute of Technology-New York</t>
  </si>
  <si>
    <t>Sage School of Massage &amp; Esthetics</t>
  </si>
  <si>
    <t>Saginaw Chippewa Tribal College</t>
  </si>
  <si>
    <t>Saginaw Valley State University</t>
  </si>
  <si>
    <t>Saint Ambrose University</t>
  </si>
  <si>
    <t>Saint Anselm College</t>
  </si>
  <si>
    <t>Saint Anthony College of Nursing</t>
  </si>
  <si>
    <t>Saint Augustine's University</t>
  </si>
  <si>
    <t>Saint Charles Borromeo Seminary-Overbrook</t>
  </si>
  <si>
    <t>Saint Cloud State University</t>
  </si>
  <si>
    <t>Saint Edward's University</t>
  </si>
  <si>
    <t>Saint Elizabeth College of Nursing</t>
  </si>
  <si>
    <t>Saint Elizabeth School of Nursing</t>
  </si>
  <si>
    <t>Saint Elizabeth University</t>
  </si>
  <si>
    <t>Saint Francis Medical Center College of Nursing</t>
  </si>
  <si>
    <t>Saint Francis Medical Center School of Nursing</t>
  </si>
  <si>
    <t>Saint Francis University</t>
  </si>
  <si>
    <t>Saint John Fisher College</t>
  </si>
  <si>
    <t>Saint Johns River State College</t>
  </si>
  <si>
    <t>Saint John's Seminary</t>
  </si>
  <si>
    <t>Saint Johns University</t>
  </si>
  <si>
    <t>Saint Joseph Seminary College</t>
  </si>
  <si>
    <t>Saint Joseph's College of Maine</t>
  </si>
  <si>
    <t>Saint Joseph's University</t>
  </si>
  <si>
    <t>Saint Leo University</t>
  </si>
  <si>
    <t>Saint Louis Christian College</t>
  </si>
  <si>
    <t>Saint Louis Community College</t>
  </si>
  <si>
    <t>Saint Louis University</t>
  </si>
  <si>
    <t>Saint Martin's University</t>
  </si>
  <si>
    <t>Saint Mary-of-the-Woods College</t>
  </si>
  <si>
    <t>Saint Mary's College</t>
  </si>
  <si>
    <t>Saint Mary's College of California</t>
  </si>
  <si>
    <t>Saint Mary's University of Minnesota</t>
  </si>
  <si>
    <t>Saint Meinrad School of Theology</t>
  </si>
  <si>
    <t>Saint Michael College of Allied Health</t>
  </si>
  <si>
    <t>Saint Michael's College</t>
  </si>
  <si>
    <t>Saint Norbert College</t>
  </si>
  <si>
    <t>Saint Paul College</t>
  </si>
  <si>
    <t>Saint Paul School of Theology</t>
  </si>
  <si>
    <t>Saint Peter's University</t>
  </si>
  <si>
    <t>Saint Vincent College</t>
  </si>
  <si>
    <t>Saint Vincent de Paul Regional Seminary</t>
  </si>
  <si>
    <t>Saint Vincent Seminary</t>
  </si>
  <si>
    <t>Saint Vladimirs Orthodox Theological Seminary</t>
  </si>
  <si>
    <t>Saint Xavier University</t>
  </si>
  <si>
    <t>Salem College</t>
  </si>
  <si>
    <t>Salem College of Hairstyling</t>
  </si>
  <si>
    <t>Salem Community College</t>
  </si>
  <si>
    <t>Salem State University</t>
  </si>
  <si>
    <t>Salem University</t>
  </si>
  <si>
    <t>Salina Area Technical College</t>
  </si>
  <si>
    <t>Saline County Career Center</t>
  </si>
  <si>
    <t>Salisbury University</t>
  </si>
  <si>
    <t>Salish Kootenai College</t>
  </si>
  <si>
    <t>Salon &amp; Spa Institute</t>
  </si>
  <si>
    <t>Salon Boutique Academy</t>
  </si>
  <si>
    <t>Salon Institute-Toledo Campus</t>
  </si>
  <si>
    <t>Salon Professional Academy of San Antonio</t>
  </si>
  <si>
    <t>Salon Professional Academy-Elevate Salon Institute</t>
  </si>
  <si>
    <t>Salon Success Academy-Corona</t>
  </si>
  <si>
    <t>Salon Success Academy-Fontana</t>
  </si>
  <si>
    <t>Salon Success Academy-Redlands</t>
  </si>
  <si>
    <t>Salon Success Academy-Riverside</t>
  </si>
  <si>
    <t>Salon Success Academy-Upland</t>
  </si>
  <si>
    <t>Salon Success Academy-West Covina</t>
  </si>
  <si>
    <t>Salt Lake Community College</t>
  </si>
  <si>
    <t>Salus University</t>
  </si>
  <si>
    <t>Salve Regina University</t>
  </si>
  <si>
    <t>Sam Houston State University</t>
  </si>
  <si>
    <t>Samaritan Hospital School of Nursing</t>
  </si>
  <si>
    <t>Samford University</t>
  </si>
  <si>
    <t>Sampson Community College</t>
  </si>
  <si>
    <t>Samuel Merritt University</t>
  </si>
  <si>
    <t>San Antonio College</t>
  </si>
  <si>
    <t>San Bernardino Beauty College</t>
  </si>
  <si>
    <t>San Bernardino Community College District</t>
  </si>
  <si>
    <t>San Bernardino Valley College</t>
  </si>
  <si>
    <t>San Diego Christian College</t>
  </si>
  <si>
    <t>San Diego City College</t>
  </si>
  <si>
    <t>San Diego Community College District-District Office</t>
  </si>
  <si>
    <t>San Diego Global Knowledge University</t>
  </si>
  <si>
    <t>San Diego Mesa College</t>
  </si>
  <si>
    <t>San Diego Miramar College</t>
  </si>
  <si>
    <t>San Diego State University</t>
  </si>
  <si>
    <t>San Francisco Art Institute</t>
  </si>
  <si>
    <t>San Francisco Bay University</t>
  </si>
  <si>
    <t>San Francisco Conservatory of Music</t>
  </si>
  <si>
    <t>San Francisco Film School</t>
  </si>
  <si>
    <t>San Francisco Institute of Esthetics &amp; Cosmetology Inc</t>
  </si>
  <si>
    <t>San Francisco State University</t>
  </si>
  <si>
    <t>San Ignacio University</t>
  </si>
  <si>
    <t>San Jacinto Community College</t>
  </si>
  <si>
    <t>San Joaquin College of Law</t>
  </si>
  <si>
    <t>San Joaquin Delta College</t>
  </si>
  <si>
    <t>San Joaquin Valley College-Atascadero</t>
  </si>
  <si>
    <t>San Joaquin Valley College-Bakersfield</t>
  </si>
  <si>
    <t>San Joaquin Valley College-Central Administrative Office</t>
  </si>
  <si>
    <t>San Joaquin Valley College-Delano</t>
  </si>
  <si>
    <t>San Joaquin Valley College-Fresno</t>
  </si>
  <si>
    <t>San Joaquin Valley College-Fresno Aviation</t>
  </si>
  <si>
    <t>San Joaquin Valley College-Hanford Classroom</t>
  </si>
  <si>
    <t>San Joaquin Valley College-Hesperia</t>
  </si>
  <si>
    <t>San Joaquin Valley College-Lancaster</t>
  </si>
  <si>
    <t>San Joaquin Valley College-Madera</t>
  </si>
  <si>
    <t>San Joaquin Valley College-Modesto</t>
  </si>
  <si>
    <t>San Joaquin Valley College-Ontario</t>
  </si>
  <si>
    <t>San Joaquin Valley College-Porterville</t>
  </si>
  <si>
    <t>San Joaquin Valley College-Rancho Cordova</t>
  </si>
  <si>
    <t>San Joaquin Valley College-Rancho Mirage</t>
  </si>
  <si>
    <t>San Joaquin Valley College-Santa Maria</t>
  </si>
  <si>
    <t>San Joaquin Valley College-Temecula</t>
  </si>
  <si>
    <t>San Joaquin Valley College-Visalia</t>
  </si>
  <si>
    <t>San Jose City College</t>
  </si>
  <si>
    <t>San Jose State University</t>
  </si>
  <si>
    <t>San Jose-Evergreen Community College District</t>
  </si>
  <si>
    <t>San Juan Bautista School of Medicine</t>
  </si>
  <si>
    <t>San Juan College</t>
  </si>
  <si>
    <t>San Mateo County Community College District Office</t>
  </si>
  <si>
    <t>Sandhills Community College</t>
  </si>
  <si>
    <t>Sandra Academy of Salon Services</t>
  </si>
  <si>
    <t>Sandusky Career Center</t>
  </si>
  <si>
    <t>Sanford Burnham Prebys Medical Discovery Institute</t>
  </si>
  <si>
    <t>Sanford Medical Center</t>
  </si>
  <si>
    <t>SANS Technology Institute</t>
  </si>
  <si>
    <t>Santa Ana Beauty Academy</t>
  </si>
  <si>
    <t>Santa Ana Beauty College</t>
  </si>
  <si>
    <t>Santa Ana College</t>
  </si>
  <si>
    <t>Santa Barbara Business College-Bakersfield</t>
  </si>
  <si>
    <t>Santa Barbara Business College-Santa Maria</t>
  </si>
  <si>
    <t>Santa Barbara City College</t>
  </si>
  <si>
    <t>Santa Clara University</t>
  </si>
  <si>
    <t>Santa Fe College</t>
  </si>
  <si>
    <t>Santa Fe Community College</t>
  </si>
  <si>
    <t>Santa Monica College</t>
  </si>
  <si>
    <t>Santa Rosa Junior College</t>
  </si>
  <si>
    <t>Santiago Canyon College</t>
  </si>
  <si>
    <t>Sarah Lawrence College</t>
  </si>
  <si>
    <t>Sarasota School of Massage Therapy</t>
  </si>
  <si>
    <t>Sauk Valley Community College</t>
  </si>
  <si>
    <t>Savannah College of Art and Design</t>
  </si>
  <si>
    <t>Savannah State University</t>
  </si>
  <si>
    <t>Savannah Technical College</t>
  </si>
  <si>
    <t>Saybrook University</t>
  </si>
  <si>
    <t>Schenectady County Community College</t>
  </si>
  <si>
    <t>Schiller International University</t>
  </si>
  <si>
    <t>Schilling-Douglas School of Hair Design LLC</t>
  </si>
  <si>
    <t>School of Automotive Machinists &amp; Technology</t>
  </si>
  <si>
    <t>School of Missionary Aviation Technology</t>
  </si>
  <si>
    <t>School of Professional Horticulture, New York Botanical Garden</t>
  </si>
  <si>
    <t>School of the Art Institute of Chicago</t>
  </si>
  <si>
    <t>School of Visual Arts</t>
  </si>
  <si>
    <t>Schoolcraft College</t>
  </si>
  <si>
    <t>Schreiner University</t>
  </si>
  <si>
    <t>Schuyler Steuben Chemung Tioga Allegany BOCES</t>
  </si>
  <si>
    <t>Schuylkill Technology Center</t>
  </si>
  <si>
    <t>Scioto County Career Technical Center</t>
  </si>
  <si>
    <t>Scottsdale Community College</t>
  </si>
  <si>
    <t>Scripps College</t>
  </si>
  <si>
    <t>Searcy Beauty College</t>
  </si>
  <si>
    <t>Seattle Central College</t>
  </si>
  <si>
    <t>Seattle Film Institute</t>
  </si>
  <si>
    <t>Seattle Institute of East Asian Medicine</t>
  </si>
  <si>
    <t>Seattle Pacific University</t>
  </si>
  <si>
    <t>Seattle University</t>
  </si>
  <si>
    <t>Sebring Career Schools-Houston</t>
  </si>
  <si>
    <t>Sebring Career Schools-Huntsville</t>
  </si>
  <si>
    <t>Seguin Beauty School-New Braunfels</t>
  </si>
  <si>
    <t>Seguin Beauty School-Seguin</t>
  </si>
  <si>
    <t>Selma University</t>
  </si>
  <si>
    <t>Seminar L'moros Bais Yaakov</t>
  </si>
  <si>
    <t>Seminario Evangelico de Puerto Rico</t>
  </si>
  <si>
    <t>Seminary Bnos Chaim</t>
  </si>
  <si>
    <t>Seminole State College</t>
  </si>
  <si>
    <t>Seminole State College of Florida</t>
  </si>
  <si>
    <t>Sentara College of Health Sciences</t>
  </si>
  <si>
    <t>Sessions College for Professional Design</t>
  </si>
  <si>
    <t>Seton Hall University</t>
  </si>
  <si>
    <t>Seton Hill University</t>
  </si>
  <si>
    <t>Setting the Standard Barbering and Natural Hair Academy</t>
  </si>
  <si>
    <t>Seward County Community College</t>
  </si>
  <si>
    <t>Sharon Regional School of Nursing</t>
  </si>
  <si>
    <t>Sharp Edgez Barber Institute</t>
  </si>
  <si>
    <t>Sharp's Academy of Hairstyling</t>
  </si>
  <si>
    <t>Shasta Bible College and Graduate School</t>
  </si>
  <si>
    <t>Shasta College</t>
  </si>
  <si>
    <t>Shasta School of Cosmetology</t>
  </si>
  <si>
    <t>Shaw University</t>
  </si>
  <si>
    <t>Shawnee Beauty College</t>
  </si>
  <si>
    <t>Shawnee Community College</t>
  </si>
  <si>
    <t>Shawnee State University</t>
  </si>
  <si>
    <t>Shawsheen Valley School of Practical Nursing</t>
  </si>
  <si>
    <t>Shear Ego International School of Hair Design</t>
  </si>
  <si>
    <t>Shear Excellence Hair Academy</t>
  </si>
  <si>
    <t>Shear Finesse Beauty Academy</t>
  </si>
  <si>
    <t>Shear Perfection Academy of Cosmetology</t>
  </si>
  <si>
    <t>Shelton Professional Phlebotomy Services</t>
  </si>
  <si>
    <t>Shelton State Community College</t>
  </si>
  <si>
    <t>Shenandoah University</t>
  </si>
  <si>
    <t>Shepherd University</t>
  </si>
  <si>
    <t>Shepherds College</t>
  </si>
  <si>
    <t>Shepherds Theological Seminary</t>
  </si>
  <si>
    <t>Sheridan Technical College</t>
  </si>
  <si>
    <t>Sherman College of Chiropractic</t>
  </si>
  <si>
    <t>Shiloh University</t>
  </si>
  <si>
    <t>Shippensburg University of Pennsylvania</t>
  </si>
  <si>
    <t>Sh'or Yoshuv Rabbinical College</t>
  </si>
  <si>
    <t>Shore Beauty School</t>
  </si>
  <si>
    <t>Shoreline Community College</t>
  </si>
  <si>
    <t>Shorter College</t>
  </si>
  <si>
    <t>Shorter University</t>
  </si>
  <si>
    <t>Siena College</t>
  </si>
  <si>
    <t>Siena Heights University</t>
  </si>
  <si>
    <t>Sierra Academy of Style</t>
  </si>
  <si>
    <t>Sierra College</t>
  </si>
  <si>
    <t>Sierra College of Beauty</t>
  </si>
  <si>
    <t>Sierra Nevada University</t>
  </si>
  <si>
    <t>Signature Healthcare Brockton Hospital School of Nursing</t>
  </si>
  <si>
    <t>Simmons College of Kentucky</t>
  </si>
  <si>
    <t>Simmons University</t>
  </si>
  <si>
    <t>Simpson College</t>
  </si>
  <si>
    <t>Simpson University</t>
  </si>
  <si>
    <t>Sinclair Community College</t>
  </si>
  <si>
    <t>Sinte Gleska University</t>
  </si>
  <si>
    <t>Sioux Falls Seminary</t>
  </si>
  <si>
    <t>Sisseton Wahpeton College</t>
  </si>
  <si>
    <t>Sistema Universitario Ana G. Mendez</t>
  </si>
  <si>
    <t>SIT Graduate Institute</t>
  </si>
  <si>
    <t>Sitting Bull College</t>
  </si>
  <si>
    <t>Skagit Valley College</t>
  </si>
  <si>
    <t>Skidmore College</t>
  </si>
  <si>
    <t>Skin Institute</t>
  </si>
  <si>
    <t>Skin Science Institute</t>
  </si>
  <si>
    <t>Skinworks School of Advanced Skincare</t>
  </si>
  <si>
    <t>Skyline College</t>
  </si>
  <si>
    <t>Slippery Rock University of Pennsylvania</t>
  </si>
  <si>
    <t>Smith College</t>
  </si>
  <si>
    <t>Snead State Community College</t>
  </si>
  <si>
    <t>Snow College</t>
  </si>
  <si>
    <t>Sofia University</t>
  </si>
  <si>
    <t>Soka University of America</t>
  </si>
  <si>
    <t>Solano Community College</t>
  </si>
  <si>
    <t>Soma Institute-The National School of Clinical Massage Therapy</t>
  </si>
  <si>
    <t>Somerset Community College</t>
  </si>
  <si>
    <t>Somerset County Technology Center</t>
  </si>
  <si>
    <t>Sonoma State University</t>
  </si>
  <si>
    <t>Sonoran Desert Institute</t>
  </si>
  <si>
    <t>Sotheby's Institute of Art-NY</t>
  </si>
  <si>
    <t>South Arkansas Community College</t>
  </si>
  <si>
    <t>South Baylo University</t>
  </si>
  <si>
    <t>South Carolina State University</t>
  </si>
  <si>
    <t>South Central Career Center</t>
  </si>
  <si>
    <t>South Central College</t>
  </si>
  <si>
    <t>South Coast College</t>
  </si>
  <si>
    <t>South College</t>
  </si>
  <si>
    <t>South Dade Technical College-South Dade Skills Center Campus</t>
  </si>
  <si>
    <t>South Dakota School of Mines and Technology</t>
  </si>
  <si>
    <t>South Dakota State University</t>
  </si>
  <si>
    <t>South Eastern Beauty Academy</t>
  </si>
  <si>
    <t>South Florida Bible College and Theological Seminary</t>
  </si>
  <si>
    <t>South Florida Institute of Technology</t>
  </si>
  <si>
    <t>South Florida State College</t>
  </si>
  <si>
    <t>South Georgia State College</t>
  </si>
  <si>
    <t>South Georgia Technical College</t>
  </si>
  <si>
    <t>South Hills Beauty Academy</t>
  </si>
  <si>
    <t>South Hills School of Business &amp; Technology</t>
  </si>
  <si>
    <t>South Louisiana Community College</t>
  </si>
  <si>
    <t>South Mountain Community College</t>
  </si>
  <si>
    <t>South Orange County Community College District</t>
  </si>
  <si>
    <t>South Piedmont Community College</t>
  </si>
  <si>
    <t>South Plains College</t>
  </si>
  <si>
    <t>South Puget Sound Community College</t>
  </si>
  <si>
    <t>South Seattle College</t>
  </si>
  <si>
    <t>South Suburban College</t>
  </si>
  <si>
    <t>South Texas Barber College Inc</t>
  </si>
  <si>
    <t>South Texas College</t>
  </si>
  <si>
    <t>South Texas College of Law Houston</t>
  </si>
  <si>
    <t>South Texas Training Center</t>
  </si>
  <si>
    <t>South Texas Vocational Technical Institute-Brownsville</t>
  </si>
  <si>
    <t>South Texas Vocational Technical Institute-Weslaco</t>
  </si>
  <si>
    <t>South University-Austin</t>
  </si>
  <si>
    <t>South University-Columbia</t>
  </si>
  <si>
    <t>South University-High Point</t>
  </si>
  <si>
    <t>South University-Montgomery</t>
  </si>
  <si>
    <t>South University-Richmond</t>
  </si>
  <si>
    <t>South University-Savannah</t>
  </si>
  <si>
    <t>South University-Savannah Online</t>
  </si>
  <si>
    <t>South University-Tampa</t>
  </si>
  <si>
    <t>South University-Virginia Beach</t>
  </si>
  <si>
    <t>South University-West Palm Beach</t>
  </si>
  <si>
    <t>Southcentral Kentucky Community and Technical College</t>
  </si>
  <si>
    <t>Southeast Arkansas College</t>
  </si>
  <si>
    <t>Southeast Community College Area</t>
  </si>
  <si>
    <t>Southeast Kentucky Community &amp; Technical College</t>
  </si>
  <si>
    <t>Southeast Missouri Hospital College of Nursing and Health Sciences</t>
  </si>
  <si>
    <t>Southeast Missouri State University</t>
  </si>
  <si>
    <t>Southeast New Mexico College</t>
  </si>
  <si>
    <t>Southeast Technical College</t>
  </si>
  <si>
    <t>Southeast Texas Career Institute</t>
  </si>
  <si>
    <t>Southeastern Baptist College</t>
  </si>
  <si>
    <t>Southeastern Baptist Theological Seminary</t>
  </si>
  <si>
    <t>Southeastern College-Charleston</t>
  </si>
  <si>
    <t>Southeastern College-Charlotte</t>
  </si>
  <si>
    <t>Southeastern College-Columbia</t>
  </si>
  <si>
    <t>Southeastern College-West Palm Beach</t>
  </si>
  <si>
    <t>Southeastern Community College</t>
  </si>
  <si>
    <t>Southeastern Esthetics Institute</t>
  </si>
  <si>
    <t>Southeastern Free Will Baptist Bible College</t>
  </si>
  <si>
    <t>Southeastern Illinois College</t>
  </si>
  <si>
    <t>Southeastern Louisiana University</t>
  </si>
  <si>
    <t>Southeastern Oklahoma State University</t>
  </si>
  <si>
    <t>Southeastern Technical College</t>
  </si>
  <si>
    <t>Southeastern Technical Institute</t>
  </si>
  <si>
    <t>Southeastern University</t>
  </si>
  <si>
    <t>Southern Adventist University</t>
  </si>
  <si>
    <t>Southern Arkansas University Main Campus</t>
  </si>
  <si>
    <t>Southern Arkansas University Tech</t>
  </si>
  <si>
    <t>Southern California Health Institute</t>
  </si>
  <si>
    <t>Southern California Institute of Architecture</t>
  </si>
  <si>
    <t>Southern California Institute of Technology</t>
  </si>
  <si>
    <t>Southern California Seminary</t>
  </si>
  <si>
    <t>Southern California University of Health Sciences</t>
  </si>
  <si>
    <t>Southern Careers Institute-Austin</t>
  </si>
  <si>
    <t>Southern Careers Institute-Brownsville</t>
  </si>
  <si>
    <t>Southern Careers Institute-Corpus Christi</t>
  </si>
  <si>
    <t>Southern Careers Institute-Harlingen</t>
  </si>
  <si>
    <t>Southern Careers Institute-Pharr</t>
  </si>
  <si>
    <t>Southern Careers Institute-San Antonio</t>
  </si>
  <si>
    <t>Southern Careers Institute-Waco</t>
  </si>
  <si>
    <t>Southern College of Optometry</t>
  </si>
  <si>
    <t>Southern Connecticut State University</t>
  </si>
  <si>
    <t>Southern Crescent Technical College</t>
  </si>
  <si>
    <t>Southern Illinois University-Carbondale</t>
  </si>
  <si>
    <t>Southern Illinois University-Edwardsville</t>
  </si>
  <si>
    <t>Southern Illinois University-System Office</t>
  </si>
  <si>
    <t>Southern Maine Community College</t>
  </si>
  <si>
    <t>Southern Methodist University</t>
  </si>
  <si>
    <t>Southern Nazarene University</t>
  </si>
  <si>
    <t>Southern New Hampshire University</t>
  </si>
  <si>
    <t>Southern Oklahoma Technology Center</t>
  </si>
  <si>
    <t>Southern Oregon University</t>
  </si>
  <si>
    <t>Southern Regional Technical College</t>
  </si>
  <si>
    <t>Southern School of Beauty Inc</t>
  </si>
  <si>
    <t>Southern State Community College</t>
  </si>
  <si>
    <t>Southern States University</t>
  </si>
  <si>
    <t>Southern Technical College</t>
  </si>
  <si>
    <t>Southern Texas Careers Academy</t>
  </si>
  <si>
    <t>Southern Union State Community College</t>
  </si>
  <si>
    <t>Southern University and A &amp; M College</t>
  </si>
  <si>
    <t>Southern University at New Orleans</t>
  </si>
  <si>
    <t>Southern University at Shreveport</t>
  </si>
  <si>
    <t>Southern University Law Center</t>
  </si>
  <si>
    <t>Southern University-Board and System</t>
  </si>
  <si>
    <t>Southern Utah University</t>
  </si>
  <si>
    <t>Southern Virginia University</t>
  </si>
  <si>
    <t>Southern Wesleyan University</t>
  </si>
  <si>
    <t>Southern West Virginia Community and Technical College</t>
  </si>
  <si>
    <t>Southern Westchester BOCES-Practical Nursing Program</t>
  </si>
  <si>
    <t>Southern Worcester County Regional Vocational School District</t>
  </si>
  <si>
    <t>Southside College of Health Sciences</t>
  </si>
  <si>
    <t>Southside Virginia Community College</t>
  </si>
  <si>
    <t>Southwest Acupuncture College-Boulder</t>
  </si>
  <si>
    <t>Southwest Acupuncture College-Santa Fe</t>
  </si>
  <si>
    <t>Southwest Baptist University</t>
  </si>
  <si>
    <t>Southwest College of Naturopathic Medicine &amp; Health Sciences</t>
  </si>
  <si>
    <t>Southwest Collegiate Institute for the Deaf</t>
  </si>
  <si>
    <t>Southwest Institute of Healing Arts</t>
  </si>
  <si>
    <t>Southwest Minnesota State University</t>
  </si>
  <si>
    <t>Southwest Mississippi Community College</t>
  </si>
  <si>
    <t>Southwest School of Business and Technical Careers-San Antonio</t>
  </si>
  <si>
    <t>Southwest Technical College</t>
  </si>
  <si>
    <t>Southwest Technology Center</t>
  </si>
  <si>
    <t>Southwest Tennessee Community College</t>
  </si>
  <si>
    <t>Southwest Texas Junior College</t>
  </si>
  <si>
    <t>Southwest University at El Paso</t>
  </si>
  <si>
    <t>Southwest University of Visual Arts-Albuquerque</t>
  </si>
  <si>
    <t>Southwest University of Visual Arts-Tucson</t>
  </si>
  <si>
    <t>Southwest Virginia Community College</t>
  </si>
  <si>
    <t>Southwest Wisconsin Technical College</t>
  </si>
  <si>
    <t>Southwestern Adventist University</t>
  </si>
  <si>
    <t>Southwestern Assemblies of God University</t>
  </si>
  <si>
    <t>Southwestern Baptist Theological Seminary</t>
  </si>
  <si>
    <t>Southwestern Christian College</t>
  </si>
  <si>
    <t>Southwestern Christian University</t>
  </si>
  <si>
    <t>Southwestern College</t>
  </si>
  <si>
    <t>Southwestern Community College</t>
  </si>
  <si>
    <t>Southwestern Illinois College</t>
  </si>
  <si>
    <t>Southwestern Indian Polytechnic Institute</t>
  </si>
  <si>
    <t>Southwestern Law School</t>
  </si>
  <si>
    <t>Southwestern Michigan College</t>
  </si>
  <si>
    <t>Southwestern Oklahoma State University</t>
  </si>
  <si>
    <t>Southwestern Oregon Community College</t>
  </si>
  <si>
    <t>Southwestern University</t>
  </si>
  <si>
    <t>Sovah School of Health Professions</t>
  </si>
  <si>
    <t>SOWELA Technical Community College</t>
  </si>
  <si>
    <t>Spa Tech Institute-Ipswich</t>
  </si>
  <si>
    <t>Spa Tech Institute-Plymouth</t>
  </si>
  <si>
    <t>Spa Tech Institute-Westboro</t>
  </si>
  <si>
    <t>Spa Tech Institute-Westbrook</t>
  </si>
  <si>
    <t>Spalding University</t>
  </si>
  <si>
    <t>Spartan College of Aeronautics &amp; Technology</t>
  </si>
  <si>
    <t>Spartan College of Aeronautics and Technology</t>
  </si>
  <si>
    <t>Spartanburg Community College</t>
  </si>
  <si>
    <t>Spartanburg Methodist College</t>
  </si>
  <si>
    <t>Specs Howard School of Media Arts</t>
  </si>
  <si>
    <t>Spelman College</t>
  </si>
  <si>
    <t>Spertus College</t>
  </si>
  <si>
    <t>Spokane Community College</t>
  </si>
  <si>
    <t>Spokane Falls Community College</t>
  </si>
  <si>
    <t>Spoon River College</t>
  </si>
  <si>
    <t>Spring Arbor University</t>
  </si>
  <si>
    <t>Spring Hill College</t>
  </si>
  <si>
    <t>Springfield College</t>
  </si>
  <si>
    <t>Springfield College-Regional, Online, and Continuing Education</t>
  </si>
  <si>
    <t>Springfield Technical Community College</t>
  </si>
  <si>
    <t>Sri Sai Krish Institute</t>
  </si>
  <si>
    <t>St Bernard's School of Theology and Ministry</t>
  </si>
  <si>
    <t>St Bonaventure University</t>
  </si>
  <si>
    <t>St Catherine University</t>
  </si>
  <si>
    <t>St Charles Community College</t>
  </si>
  <si>
    <t>St Clair County Community College</t>
  </si>
  <si>
    <t>St Cloud Technical and Community College</t>
  </si>
  <si>
    <t>St Francis Medical Center-School of Radiologic Technology</t>
  </si>
  <si>
    <t>St Joseph School of Nursing</t>
  </si>
  <si>
    <t>St Lawrence University</t>
  </si>
  <si>
    <t>St Louis College of Health Careers-Fenton</t>
  </si>
  <si>
    <t>St Louis College of Health Careers-St Louis</t>
  </si>
  <si>
    <t>St Luke's College</t>
  </si>
  <si>
    <t>St Lukes Hospital School of Nursing</t>
  </si>
  <si>
    <t>St Olaf College</t>
  </si>
  <si>
    <t>St Paul's School of Nursing-Queens</t>
  </si>
  <si>
    <t>St Paul's School of Nursing-Staten Island</t>
  </si>
  <si>
    <t>St Petersburg College</t>
  </si>
  <si>
    <t>St Philip's College</t>
  </si>
  <si>
    <t>St. Andrews University</t>
  </si>
  <si>
    <t>St. Augustine College</t>
  </si>
  <si>
    <t>St. Francis College</t>
  </si>
  <si>
    <t>St. John Vianney College Seminary</t>
  </si>
  <si>
    <t>St. John's College</t>
  </si>
  <si>
    <t>St. John's College-Department of Nursing</t>
  </si>
  <si>
    <t>St. John's University-New York</t>
  </si>
  <si>
    <t>St. Joseph's College of Nursing</t>
  </si>
  <si>
    <t>St. Joseph's University-New York</t>
  </si>
  <si>
    <t>St. Louis Med Tech</t>
  </si>
  <si>
    <t>St. Mary's College of Maryland</t>
  </si>
  <si>
    <t>St. Mary's University</t>
  </si>
  <si>
    <t>St. Peter's Hospital College of Nursing</t>
  </si>
  <si>
    <t>St. Thomas Aquinas College</t>
  </si>
  <si>
    <t>St. Thomas University</t>
  </si>
  <si>
    <t>Stacey James Institute</t>
  </si>
  <si>
    <t>Stage One-The Hair School</t>
  </si>
  <si>
    <t>Stanbridge University</t>
  </si>
  <si>
    <t>Standard Healthcare Services-College of Nursing</t>
  </si>
  <si>
    <t>Stanford University</t>
  </si>
  <si>
    <t>Stanly Community College</t>
  </si>
  <si>
    <t>Stark State College</t>
  </si>
  <si>
    <t>Starr King School for the Ministry</t>
  </si>
  <si>
    <t>State Career College</t>
  </si>
  <si>
    <t>State Center Community College District</t>
  </si>
  <si>
    <t>State College of Beauty Culture Inc</t>
  </si>
  <si>
    <t>State College of Florida-Manatee-Sarasota</t>
  </si>
  <si>
    <t>State Fair Community College</t>
  </si>
  <si>
    <t>State Technical College of Missouri</t>
  </si>
  <si>
    <t>State University of New York at New Paltz</t>
  </si>
  <si>
    <t>Staunton School of Cosmetology</t>
  </si>
  <si>
    <t>Stautzenberger College-Brecksville</t>
  </si>
  <si>
    <t>Stautzenberger College-Maumee</t>
  </si>
  <si>
    <t>Stautzenberger College-Rockford Career College</t>
  </si>
  <si>
    <t>Stellar Career College</t>
  </si>
  <si>
    <t>Stephen F Austin State University</t>
  </si>
  <si>
    <t>Stephens College</t>
  </si>
  <si>
    <t>Sterling College</t>
  </si>
  <si>
    <t>Stetson University</t>
  </si>
  <si>
    <t>Steven Papageorge Hair Academy</t>
  </si>
  <si>
    <t>Stevens Institute of Technology</t>
  </si>
  <si>
    <t>Stevens-Henager College</t>
  </si>
  <si>
    <t>Stevenson University</t>
  </si>
  <si>
    <t>Stevensons Academy of Hair Design</t>
  </si>
  <si>
    <t>Stevens-The Institute of Business &amp; Arts</t>
  </si>
  <si>
    <t>Stewart School</t>
  </si>
  <si>
    <t>Stillman College</t>
  </si>
  <si>
    <t>Stockton University</t>
  </si>
  <si>
    <t>Stone Academy-East Hartford</t>
  </si>
  <si>
    <t>Stone Academy-Waterbury</t>
  </si>
  <si>
    <t>Stone Academy-West Haven</t>
  </si>
  <si>
    <t>Stone Child College</t>
  </si>
  <si>
    <t>Stonehill College</t>
  </si>
  <si>
    <t>Stony Brook University</t>
  </si>
  <si>
    <t>Strand College of Hair Design</t>
  </si>
  <si>
    <t>Strand Institute of Beauty &amp; Esthetics</t>
  </si>
  <si>
    <t>Stratford School for Aviation Maintenance Technicians</t>
  </si>
  <si>
    <t>Stratford University</t>
  </si>
  <si>
    <t>Strayer University-Alabama</t>
  </si>
  <si>
    <t>Strayer University-Arkansas</t>
  </si>
  <si>
    <t>Strayer University-Delaware</t>
  </si>
  <si>
    <t>Strayer University-District of Columbia</t>
  </si>
  <si>
    <t>Strayer University-Florida</t>
  </si>
  <si>
    <t>Strayer University-Georgia</t>
  </si>
  <si>
    <t>Strayer University-Global Region</t>
  </si>
  <si>
    <t>Strayer University-Maryland</t>
  </si>
  <si>
    <t>Strayer University-Mississippi</t>
  </si>
  <si>
    <t>Strayer University-New Jersey</t>
  </si>
  <si>
    <t>Strayer University-North Carolina</t>
  </si>
  <si>
    <t>Strayer University-Pennsylvania</t>
  </si>
  <si>
    <t>Strayer University-South Carolina</t>
  </si>
  <si>
    <t>Strayer University-Tennessee</t>
  </si>
  <si>
    <t>Strayer University-Texas</t>
  </si>
  <si>
    <t>Strayer University-Virginia</t>
  </si>
  <si>
    <t>Strayer University-West Virginia</t>
  </si>
  <si>
    <t>Studio Academy of Beauty</t>
  </si>
  <si>
    <t>Studio Beauty School</t>
  </si>
  <si>
    <t>Studio Incamminati</t>
  </si>
  <si>
    <t>Studio Jewelers</t>
  </si>
  <si>
    <t>Stylemaster College of Hair Design</t>
  </si>
  <si>
    <t>Suffolk County Community College</t>
  </si>
  <si>
    <t>Suffolk University</t>
  </si>
  <si>
    <t>Sul Ross State University</t>
  </si>
  <si>
    <t>Sullivan County Community College</t>
  </si>
  <si>
    <t>Sullivan University</t>
  </si>
  <si>
    <t>SUM Bible College and Theological Seminary</t>
  </si>
  <si>
    <t>Summit Academy Opportunities Industrialization Center</t>
  </si>
  <si>
    <t>Summit Christian College</t>
  </si>
  <si>
    <t>Summit College</t>
  </si>
  <si>
    <t>Summit Salon Academy</t>
  </si>
  <si>
    <t>Summit Salon Academy Kansas City</t>
  </si>
  <si>
    <t>Summit Salon Academy-Gainesville</t>
  </si>
  <si>
    <t>Summit Salon Academy-Kokomo</t>
  </si>
  <si>
    <t>Summit Salon Academy-Lexington</t>
  </si>
  <si>
    <t>Summit Salon Academy-Perrysburg</t>
  </si>
  <si>
    <t>Summit Salon Academy-Portland</t>
  </si>
  <si>
    <t>Sumner College</t>
  </si>
  <si>
    <t>Sumter Beauty College</t>
  </si>
  <si>
    <t>Suncoast Technical College</t>
  </si>
  <si>
    <t>Suncoast Technical Education Center</t>
  </si>
  <si>
    <t>Sunstate Academy</t>
  </si>
  <si>
    <t>SUNY Adirondack</t>
  </si>
  <si>
    <t>SUNY at Albany</t>
  </si>
  <si>
    <t>SUNY at Fredonia</t>
  </si>
  <si>
    <t>SUNY at Purchase College</t>
  </si>
  <si>
    <t>SUNY Brockport</t>
  </si>
  <si>
    <t>SUNY Broome Community College</t>
  </si>
  <si>
    <t>SUNY Buffalo State</t>
  </si>
  <si>
    <t>SUNY College at Geneseo</t>
  </si>
  <si>
    <t>SUNY College at Old Westbury</t>
  </si>
  <si>
    <t>SUNY College at Oswego</t>
  </si>
  <si>
    <t>SUNY College at Plattsburgh</t>
  </si>
  <si>
    <t>SUNY College at Potsdam</t>
  </si>
  <si>
    <t>SUNY College of Agriculture and Technology at Cobleskill</t>
  </si>
  <si>
    <t>SUNY College of Environmental Science and Forestry</t>
  </si>
  <si>
    <t>SUNY College of Optometry</t>
  </si>
  <si>
    <t>SUNY College of Technology at Alfred</t>
  </si>
  <si>
    <t>SUNY College of Technology at Canton</t>
  </si>
  <si>
    <t>SUNY College of Technology at Delhi</t>
  </si>
  <si>
    <t>SUNY Corning Community College</t>
  </si>
  <si>
    <t>SUNY Cortland</t>
  </si>
  <si>
    <t>SUNY Downstate Health Sciences University</t>
  </si>
  <si>
    <t>SUNY Empire State College</t>
  </si>
  <si>
    <t>SUNY Maritime College</t>
  </si>
  <si>
    <t>SUNY Morrisville</t>
  </si>
  <si>
    <t>SUNY Oneonta</t>
  </si>
  <si>
    <t>SUNY Polytechnic Institute</t>
  </si>
  <si>
    <t>SUNY Westchester Community College</t>
  </si>
  <si>
    <t>SUNY-System Office</t>
  </si>
  <si>
    <t>Surry Community College</t>
  </si>
  <si>
    <t>Susquehanna County Career and Technology Center</t>
  </si>
  <si>
    <t>Susquehanna University</t>
  </si>
  <si>
    <t>Sussex County Community College</t>
  </si>
  <si>
    <t>Sutter County Career Training Center</t>
  </si>
  <si>
    <t>Swarthmore College</t>
  </si>
  <si>
    <t>Swedish Institute a College of Health Sciences</t>
  </si>
  <si>
    <t>Sweet Briar College</t>
  </si>
  <si>
    <t>Sylvain Melloul International Hair Academy</t>
  </si>
  <si>
    <t>Syracuse University</t>
  </si>
  <si>
    <t>Tabor College</t>
  </si>
  <si>
    <t>Tacoma Community College</t>
  </si>
  <si>
    <t>Taft College</t>
  </si>
  <si>
    <t>Taft University System</t>
  </si>
  <si>
    <t>Talladega College</t>
  </si>
  <si>
    <t>Tallahassee Community College</t>
  </si>
  <si>
    <t>Talmudic College of Florida</t>
  </si>
  <si>
    <t>Talmudical Academy-New Jersey</t>
  </si>
  <si>
    <t>Talmudical Institute of Upstate New York</t>
  </si>
  <si>
    <t>Talmudical Seminary of Bobov</t>
  </si>
  <si>
    <t>Talmudical Seminary Oholei Torah</t>
  </si>
  <si>
    <t>Talmudical Yeshiva of Philadelphia</t>
  </si>
  <si>
    <t>Tarleton State University</t>
  </si>
  <si>
    <t>Tarrant County College District</t>
  </si>
  <si>
    <t>Taylor Andrews Academy of Hair Design-Hair Lab Detroit Barber School</t>
  </si>
  <si>
    <t>Taylor Andrews Academy of Hair Design-Provo</t>
  </si>
  <si>
    <t>Taylor Andrews Academy of Hair Design-West Jordan</t>
  </si>
  <si>
    <t>Taylor Andrews Academy-St George</t>
  </si>
  <si>
    <t>Taylor Business Institute</t>
  </si>
  <si>
    <t>Taylor College</t>
  </si>
  <si>
    <t>Taylor Institute of Cosmetology II</t>
  </si>
  <si>
    <t>Taylor University</t>
  </si>
  <si>
    <t>Taylortown School of Beauty Inc</t>
  </si>
  <si>
    <t>TDDS Technical Institute</t>
  </si>
  <si>
    <t>Teachers College at Columbia University</t>
  </si>
  <si>
    <t>Teachers College of San Joaquin</t>
  </si>
  <si>
    <t>Technical College of the Lowcountry</t>
  </si>
  <si>
    <t>Technical College of the Rockies</t>
  </si>
  <si>
    <t>Technical Learning Centers Inc</t>
  </si>
  <si>
    <t>Telshe Yeshiva-Chicago</t>
  </si>
  <si>
    <t>Temple College</t>
  </si>
  <si>
    <t>Temple University</t>
  </si>
  <si>
    <t>Tenaj Salon Institute</t>
  </si>
  <si>
    <t>Tennessee Board of Regents</t>
  </si>
  <si>
    <t>Tennessee College of Applied Technology Nashville</t>
  </si>
  <si>
    <t>Tennessee College of Applied Technology-Athens</t>
  </si>
  <si>
    <t>Tennessee College of Applied Technology-Covington</t>
  </si>
  <si>
    <t>Tennessee College of Applied Technology-Crossville</t>
  </si>
  <si>
    <t>Tennessee College of Applied Technology-Crump</t>
  </si>
  <si>
    <t>Tennessee College of Applied Technology-Dickson</t>
  </si>
  <si>
    <t>Tennessee College of Applied Technology-Elizabethton</t>
  </si>
  <si>
    <t>Tennessee College of Applied Technology-Harriman</t>
  </si>
  <si>
    <t>Tennessee College of Applied Technology-Hartsville</t>
  </si>
  <si>
    <t>Tennessee College of Applied Technology-Hohenwald</t>
  </si>
  <si>
    <t>Tennessee College of Applied Technology-Jacksboro</t>
  </si>
  <si>
    <t>Tennessee College of Applied Technology-Jackson</t>
  </si>
  <si>
    <t>Tennessee College of Applied Technology-Knoxville</t>
  </si>
  <si>
    <t>Tennessee College of Applied Technology-Livingston</t>
  </si>
  <si>
    <t>Tennessee College of Applied Technology-McKenzie</t>
  </si>
  <si>
    <t>Tennessee College of Applied Technology-McMinnville</t>
  </si>
  <si>
    <t>Tennessee College of Applied Technology-Memphis</t>
  </si>
  <si>
    <t>Tennessee College of Applied Technology-Morristown</t>
  </si>
  <si>
    <t>Tennessee College of Applied Technology-Murfreesboro</t>
  </si>
  <si>
    <t>Tennessee College of Applied Technology-Newbern</t>
  </si>
  <si>
    <t>Tennessee College of Applied Technology-Oneida-Huntsville</t>
  </si>
  <si>
    <t>Tennessee College of Applied Technology-Paris</t>
  </si>
  <si>
    <t>Tennessee College of Applied Technology-Pulaski</t>
  </si>
  <si>
    <t>Tennessee College of Applied Technology-Ripley</t>
  </si>
  <si>
    <t>Tennessee College of Applied Technology-Shelbyville</t>
  </si>
  <si>
    <t>Tennessee College of Applied Technology-Whiteville</t>
  </si>
  <si>
    <t>Tennessee School of Beauty of Knoxville Inc</t>
  </si>
  <si>
    <t>Tennessee State University</t>
  </si>
  <si>
    <t>Tennessee Technological University</t>
  </si>
  <si>
    <t>Tennessee Wesleyan University</t>
  </si>
  <si>
    <t>Terra State Community College</t>
  </si>
  <si>
    <t>Texarkana College</t>
  </si>
  <si>
    <t>Texas A &amp; M International University</t>
  </si>
  <si>
    <t>Texas A &amp; M University-College Station</t>
  </si>
  <si>
    <t>Texas A &amp; M University-Commerce</t>
  </si>
  <si>
    <t>Texas A &amp; M University-Corpus Christi</t>
  </si>
  <si>
    <t>Texas A &amp; M University-Kingsville</t>
  </si>
  <si>
    <t>Texas A &amp; M University-System Office</t>
  </si>
  <si>
    <t>Texas A&amp;M University-Central Texas</t>
  </si>
  <si>
    <t>Texas A&amp;M University-San Antonio</t>
  </si>
  <si>
    <t>Texas A&amp;M University-Texarkana</t>
  </si>
  <si>
    <t>Texas Barber College</t>
  </si>
  <si>
    <t>Texas Beauty College</t>
  </si>
  <si>
    <t>Texas Chiropractic College Foundation Inc</t>
  </si>
  <si>
    <t>Texas Christian University</t>
  </si>
  <si>
    <t>Texas College</t>
  </si>
  <si>
    <t>Texas College of Cosmetology-Abilene</t>
  </si>
  <si>
    <t>Texas College of Cosmetology-Lubbock</t>
  </si>
  <si>
    <t>Texas College of Cosmetology-San Angelo</t>
  </si>
  <si>
    <t>Texas County Technical College</t>
  </si>
  <si>
    <t>Texas Health and Science University</t>
  </si>
  <si>
    <t>Texas Health School</t>
  </si>
  <si>
    <t>Texas Healthtech Institute</t>
  </si>
  <si>
    <t>Texas Lutheran University</t>
  </si>
  <si>
    <t>Texas Southern University</t>
  </si>
  <si>
    <t>Texas Southmost College</t>
  </si>
  <si>
    <t>Texas State Technical College</t>
  </si>
  <si>
    <t>Texas State University</t>
  </si>
  <si>
    <t>Texas Tech University</t>
  </si>
  <si>
    <t>Texas Tech University Health Sciences Center</t>
  </si>
  <si>
    <t>Texas Tech University Health Sciences Center-El Paso</t>
  </si>
  <si>
    <t>Texas Tech University System Administration</t>
  </si>
  <si>
    <t>Texas Wesleyan University</t>
  </si>
  <si>
    <t>Texas Woman's University</t>
  </si>
  <si>
    <t>Textures Institute of Cosmetology</t>
  </si>
  <si>
    <t>Thaddeus Stevens College of Technology</t>
  </si>
  <si>
    <t>Thanh Le College School of Cosmetology</t>
  </si>
  <si>
    <t>The  Beauty Institute</t>
  </si>
  <si>
    <t>The  Salon Professional Academy of Holland</t>
  </si>
  <si>
    <t>The Academy of Hair Design Six</t>
  </si>
  <si>
    <t>The Ailey School</t>
  </si>
  <si>
    <t>The Art Institute of Atlanta</t>
  </si>
  <si>
    <t>The Art Institute of Austin</t>
  </si>
  <si>
    <t>The Art Institute of Houston</t>
  </si>
  <si>
    <t>The Art Institute of San Antonio</t>
  </si>
  <si>
    <t>The Art Institute of Virginia Beach</t>
  </si>
  <si>
    <t>The Baptist College of Florida</t>
  </si>
  <si>
    <t>The Barber School</t>
  </si>
  <si>
    <t>The Beauty Institute</t>
  </si>
  <si>
    <t>The Beauty Institute-Ambler</t>
  </si>
  <si>
    <t>The Catholic University of America</t>
  </si>
  <si>
    <t>The Chicago School of Professional Psychology at Anaheim</t>
  </si>
  <si>
    <t>The Chicago School of Professional Psychology at Chicago</t>
  </si>
  <si>
    <t>The Chicago School of Professional Psychology at Los Angeles</t>
  </si>
  <si>
    <t>The Chicago School of Professional Psychology at San Diego</t>
  </si>
  <si>
    <t>The Chicago School of Professional Psychology at Washington DC</t>
  </si>
  <si>
    <t>The Chicago School of Professional Psychology at Xavier University of Louisiana</t>
  </si>
  <si>
    <t>The Christ College of Nursing and Health Sciences</t>
  </si>
  <si>
    <t>The Chrysm Institute of Esthetics</t>
  </si>
  <si>
    <t>The College of Health Care Professions-Austin</t>
  </si>
  <si>
    <t>The College of Health Care Professions-Dallas</t>
  </si>
  <si>
    <t>The College of Health Care Professions-Fort Worth</t>
  </si>
  <si>
    <t>The College of Health Care Professions-McAllen Campus</t>
  </si>
  <si>
    <t>The College of Health Care Professions-Northwest</t>
  </si>
  <si>
    <t>The College of Health Care Professions-San Antonio</t>
  </si>
  <si>
    <t>The College of Health Care Professions-South San Antonio</t>
  </si>
  <si>
    <t>The College of Health Care Professions-Southwest Houston</t>
  </si>
  <si>
    <t>The College of Idaho</t>
  </si>
  <si>
    <t>The College of New Jersey</t>
  </si>
  <si>
    <t>The College of Saint Rose</t>
  </si>
  <si>
    <t>The College of Saint Scholastica</t>
  </si>
  <si>
    <t>The College of the Florida Keys</t>
  </si>
  <si>
    <t>The College of Westchester</t>
  </si>
  <si>
    <t>The College of Wooster</t>
  </si>
  <si>
    <t>The Continents States University</t>
  </si>
  <si>
    <t>The Creative Center</t>
  </si>
  <si>
    <t>The Creative Circus</t>
  </si>
  <si>
    <t>The Culinary School of Fort Worth</t>
  </si>
  <si>
    <t>The Esthetic Institute</t>
  </si>
  <si>
    <t>The Evergreen State College</t>
  </si>
  <si>
    <t>The Fab School</t>
  </si>
  <si>
    <t>The General Theological Seminary</t>
  </si>
  <si>
    <t>The Hair Academy</t>
  </si>
  <si>
    <t>The Hair Academy LLC</t>
  </si>
  <si>
    <t>The Healthcare Institute</t>
  </si>
  <si>
    <t>The Institute of Beauty and Wellness</t>
  </si>
  <si>
    <t>The International Culinary Center</t>
  </si>
  <si>
    <t>The Juilliard School</t>
  </si>
  <si>
    <t>The King's College</t>
  </si>
  <si>
    <t>The King's University</t>
  </si>
  <si>
    <t>The Landing School</t>
  </si>
  <si>
    <t>The Master's University and Seminary</t>
  </si>
  <si>
    <t>The Michigan Barber School</t>
  </si>
  <si>
    <t>The Modern College of Design</t>
  </si>
  <si>
    <t>The New England Conservatory of Music</t>
  </si>
  <si>
    <t>The New School</t>
  </si>
  <si>
    <t>The New School Center for Media</t>
  </si>
  <si>
    <t>The North Coast College</t>
  </si>
  <si>
    <t>The Pennsylvania State University</t>
  </si>
  <si>
    <t>The Professional Cosmetology Academy</t>
  </si>
  <si>
    <t>The Professional Hair Design Academy</t>
  </si>
  <si>
    <t>The Rapha School</t>
  </si>
  <si>
    <t>The Recording Conservatory of Austin</t>
  </si>
  <si>
    <t>The Salon Professional Academy</t>
  </si>
  <si>
    <t>The Salon Professional Academy-Altoona</t>
  </si>
  <si>
    <t>The Salon Professional Academy-Appleton</t>
  </si>
  <si>
    <t>The Salon Professional Academy-Battle Creek</t>
  </si>
  <si>
    <t>The Salon Professional Academy-Cedar Falls</t>
  </si>
  <si>
    <t>The Salon Professional Academy-Colorado Springs</t>
  </si>
  <si>
    <t>The Salon Professional Academy-Delray Beach</t>
  </si>
  <si>
    <t>The Salon Professional Academy-Evansville</t>
  </si>
  <si>
    <t>The Salon Professional Academy-Fargo</t>
  </si>
  <si>
    <t>The Salon Professional Academy-Ft Myers</t>
  </si>
  <si>
    <t>The Salon Professional Academy-Georgetown</t>
  </si>
  <si>
    <t>The Salon Professional Academy-Grand Junction</t>
  </si>
  <si>
    <t>The Salon Professional Academy-Huntsville</t>
  </si>
  <si>
    <t>The Salon Professional Academy-Kenosha</t>
  </si>
  <si>
    <t>The Salon Professional Academy-Lewisville</t>
  </si>
  <si>
    <t>The Salon Professional Academy-Melbourne</t>
  </si>
  <si>
    <t>The Salon Professional Academy-Nampa</t>
  </si>
  <si>
    <t>The Salon Professional Academy-Nashville</t>
  </si>
  <si>
    <t>The Salon Professional Academy-North Little Rock</t>
  </si>
  <si>
    <t>The Salon Professional Academy-Onalaska</t>
  </si>
  <si>
    <t>The Salon Professional Academy-San Jose</t>
  </si>
  <si>
    <t>The Salon Professional Academy-St Charles</t>
  </si>
  <si>
    <t>The Salon Professional Academy-Tonawanda</t>
  </si>
  <si>
    <t>The Salon Professional Academy-Washington DC</t>
  </si>
  <si>
    <t>The Santa Barbara and Ventura Colleges of Law at Santa Barbara</t>
  </si>
  <si>
    <t>The Santa Barbara and Ventura Colleges of Law at Ventura</t>
  </si>
  <si>
    <t>The School of Architecture</t>
  </si>
  <si>
    <t>The Seattle School of Theology &amp; Psychology</t>
  </si>
  <si>
    <t>The Southern Baptist Theological Seminary</t>
  </si>
  <si>
    <t>The Spa School</t>
  </si>
  <si>
    <t>The Temple Annapolis-A Paul Mitchell Partner School</t>
  </si>
  <si>
    <t>The Temple-A Paul Mitchell Partner School</t>
  </si>
  <si>
    <t>The University of Aesthetics &amp; Cosmetology</t>
  </si>
  <si>
    <t>The University of Alabama</t>
  </si>
  <si>
    <t>The University of America</t>
  </si>
  <si>
    <t>The University of Findlay</t>
  </si>
  <si>
    <t>The University of Montana</t>
  </si>
  <si>
    <t>The University of Montana-Western</t>
  </si>
  <si>
    <t>The University of Tampa</t>
  </si>
  <si>
    <t>The University of Tennessee Health Science Center</t>
  </si>
  <si>
    <t>The University of Tennessee Southern</t>
  </si>
  <si>
    <t>The University of Tennessee System Office</t>
  </si>
  <si>
    <t>The University of Tennessee-Chattanooga</t>
  </si>
  <si>
    <t>The University of Tennessee-Knoxville</t>
  </si>
  <si>
    <t>The University of Tennessee-Martin</t>
  </si>
  <si>
    <t>The University of Texas at Arlington</t>
  </si>
  <si>
    <t>The University of Texas at Austin</t>
  </si>
  <si>
    <t>The University of Texas at Dallas</t>
  </si>
  <si>
    <t>The University of Texas at El Paso</t>
  </si>
  <si>
    <t>The University of Texas at San Antonio</t>
  </si>
  <si>
    <t>The University of Texas at Tyler</t>
  </si>
  <si>
    <t>The University of Texas Health Science Center at Houston</t>
  </si>
  <si>
    <t>The University of Texas Health Science Center at San Antonio</t>
  </si>
  <si>
    <t>The University of Texas MD Anderson Cancer Center</t>
  </si>
  <si>
    <t>The University of Texas Medical Branch at Galveston</t>
  </si>
  <si>
    <t>The University of Texas Permian Basin</t>
  </si>
  <si>
    <t>The University of Texas Rio Grande Valley</t>
  </si>
  <si>
    <t>The University of Texas System Office</t>
  </si>
  <si>
    <t>The University of the Arts</t>
  </si>
  <si>
    <t>The University of the South</t>
  </si>
  <si>
    <t>The University of West Florida</t>
  </si>
  <si>
    <t>The Vocational Nursing Institute Inc</t>
  </si>
  <si>
    <t>The Wright Institute</t>
  </si>
  <si>
    <t>Theatre of Arts</t>
  </si>
  <si>
    <t>Theological Seminary of the Reformed Episcopal Church</t>
  </si>
  <si>
    <t>Thiel College</t>
  </si>
  <si>
    <t>Thomas Aquinas College</t>
  </si>
  <si>
    <t>Thomas College</t>
  </si>
  <si>
    <t>Thomas Edison State University</t>
  </si>
  <si>
    <t>Thomas Jefferson School of Law</t>
  </si>
  <si>
    <t>Thomas Jefferson University</t>
  </si>
  <si>
    <t>Thomas More College of Liberal Arts</t>
  </si>
  <si>
    <t>Thomas More University</t>
  </si>
  <si>
    <t>Thomas University</t>
  </si>
  <si>
    <t>Three Rivers College</t>
  </si>
  <si>
    <t>Three Rivers Community College</t>
  </si>
  <si>
    <t>Tidewater Community College</t>
  </si>
  <si>
    <t>Tidewater Tech-Trades</t>
  </si>
  <si>
    <t>Tiffin Academy of Hair Design</t>
  </si>
  <si>
    <t>Tiffin University</t>
  </si>
  <si>
    <t>TIGI Hairdressing Academy Guilford</t>
  </si>
  <si>
    <t>Tigi Hairdressing Academy-Colorado Springs</t>
  </si>
  <si>
    <t>Tillamook Bay Community College</t>
  </si>
  <si>
    <t>Tint School of Makeup &amp; Cosmetology</t>
  </si>
  <si>
    <t>Tint School of Makeup &amp; Cosmetology-Seattle</t>
  </si>
  <si>
    <t>Tint School of Makeup and Cosmetology-Dallas</t>
  </si>
  <si>
    <t>Toccoa Falls College</t>
  </si>
  <si>
    <t>Tohono O'Odham Community College</t>
  </si>
  <si>
    <t>Toledo Academy of Beauty Culture-East</t>
  </si>
  <si>
    <t>Toledo Public Schools Adult and Continuing Education</t>
  </si>
  <si>
    <t>Tom P. Haney Technical College</t>
  </si>
  <si>
    <t>Tomorrow's Image Barber And Beauty Academy of Virginia</t>
  </si>
  <si>
    <t>Tompkins Cortland Community College</t>
  </si>
  <si>
    <t>Toni &amp; Guy Hairdressing Academy-Albuquerque</t>
  </si>
  <si>
    <t>Toni &amp; Guy Hairdressing Academy-Atlanta</t>
  </si>
  <si>
    <t>Toni &amp; Guy Hairdressing Academy-Cranston</t>
  </si>
  <si>
    <t>Toni &amp; Guy Hairdressing Academy-Idaho</t>
  </si>
  <si>
    <t>Toni &amp; Guy Hairdressing Academy-Plano</t>
  </si>
  <si>
    <t>Toni &amp; Guy Hairdressing Academy-Rio Rancho</t>
  </si>
  <si>
    <t>Toni &amp; Guy Hairdressing Academy-Shoreline</t>
  </si>
  <si>
    <t>Toni &amp; Guy Hairdressing Academy-Worcester</t>
  </si>
  <si>
    <t>Tonsorial Arts Barber College</t>
  </si>
  <si>
    <t>Tooele Technical College</t>
  </si>
  <si>
    <t>Top Nails &amp; Hair Beauty School</t>
  </si>
  <si>
    <t>Top of the Line Barber College</t>
  </si>
  <si>
    <t>Torah Temimah Talmudical Seminary</t>
  </si>
  <si>
    <t>Total Beauty Institute</t>
  </si>
  <si>
    <t>Total Image Beauty Academy</t>
  </si>
  <si>
    <t>Total Transformation Institute of Cosmetology</t>
  </si>
  <si>
    <t>Totally Cosmo School of Modern Cosmetology</t>
  </si>
  <si>
    <t>Tougaloo College</t>
  </si>
  <si>
    <t>Touro College</t>
  </si>
  <si>
    <t>Touro University California</t>
  </si>
  <si>
    <t>Touro University Nevada</t>
  </si>
  <si>
    <t>Touro University Worldwide</t>
  </si>
  <si>
    <t>Towson University</t>
  </si>
  <si>
    <t>Toyota Technological Institute at Chicago</t>
  </si>
  <si>
    <t>Transitions Career Institute School of Nursing</t>
  </si>
  <si>
    <t>Transylvania University</t>
  </si>
  <si>
    <t>Traviss Technical College</t>
  </si>
  <si>
    <t>Traxlers School of Hair</t>
  </si>
  <si>
    <t>Treasure Coast Technical College</t>
  </si>
  <si>
    <t>Treasure Valley Community College</t>
  </si>
  <si>
    <t>Trend Barber College</t>
  </si>
  <si>
    <t>Trend Setters School</t>
  </si>
  <si>
    <t>Trendsetters School of Beauty &amp; Barbering</t>
  </si>
  <si>
    <t>Trenz Beauty Academy</t>
  </si>
  <si>
    <t>Trevecca Nazarene University</t>
  </si>
  <si>
    <t>Tri County Regional Vocational Technical High School</t>
  </si>
  <si>
    <t>Triad Education</t>
  </si>
  <si>
    <t>Triangle Tech Inc-Bethlehem</t>
  </si>
  <si>
    <t>Triangle Tech Inc-Dubois</t>
  </si>
  <si>
    <t>Triangle Tech Inc-Greensburg</t>
  </si>
  <si>
    <t>Triangle Tech Inc-Pittsburgh</t>
  </si>
  <si>
    <t>Triangle Tech Inc-Sunbury</t>
  </si>
  <si>
    <t>Triangle Tech-Chambersburg</t>
  </si>
  <si>
    <t>Tricoci University of Beauty Culture</t>
  </si>
  <si>
    <t>Tricoci University of Beauty Culture LLC-Bloomington</t>
  </si>
  <si>
    <t>Tricoci University of Beauty Culture-Bridgeview</t>
  </si>
  <si>
    <t>Tricoci University of Beauty Culture-Chicago NE</t>
  </si>
  <si>
    <t>Tricoci University of Beauty Culture-Chicago NW</t>
  </si>
  <si>
    <t>Tricoci University of Beauty Culture-Elgin</t>
  </si>
  <si>
    <t>Tricoci University of Beauty Culture-Glendale Heights</t>
  </si>
  <si>
    <t>Tricoci University of Beauty Culture-Highland</t>
  </si>
  <si>
    <t>Tricoci University of Beauty Culture-Indianapolis</t>
  </si>
  <si>
    <t>Tricoci University of Beauty Culture-Janesville</t>
  </si>
  <si>
    <t>Tricoci University of Beauty Culture-Lafayette</t>
  </si>
  <si>
    <t>Tricoci University of Beauty Culture-Libertyville</t>
  </si>
  <si>
    <t>Tricoci University of Beauty Culture-Normal</t>
  </si>
  <si>
    <t>Tricoci University of Beauty Culture-Peoria</t>
  </si>
  <si>
    <t>Tricoci University of Beauty Culture-Rockford</t>
  </si>
  <si>
    <t>Tri-Community Adult Education</t>
  </si>
  <si>
    <t>Tri-County Adult Career Center</t>
  </si>
  <si>
    <t>Tri-County Beauty Academy</t>
  </si>
  <si>
    <t>Tri-County Community College</t>
  </si>
  <si>
    <t>Tri-County Technical College</t>
  </si>
  <si>
    <t>Trident Technical College</t>
  </si>
  <si>
    <t>Trine University</t>
  </si>
  <si>
    <t>Trine University-Regional/Non-Traditional Campuses</t>
  </si>
  <si>
    <t>Trinidad State College</t>
  </si>
  <si>
    <t>Trinity Baptist College</t>
  </si>
  <si>
    <t>Trinity Bible College and Graduate School</t>
  </si>
  <si>
    <t>Trinity Christian College</t>
  </si>
  <si>
    <t>Trinity College</t>
  </si>
  <si>
    <t>Trinity College of Florida</t>
  </si>
  <si>
    <t>Trinity College of Nursing &amp; Health Sciences</t>
  </si>
  <si>
    <t>Trinity College of Puerto Rico</t>
  </si>
  <si>
    <t>Trinity Episcopal School for Ministry</t>
  </si>
  <si>
    <t>Trinity Health System School of Nursing</t>
  </si>
  <si>
    <t>Trinity International University-Florida</t>
  </si>
  <si>
    <t>Trinity International University-Illinois</t>
  </si>
  <si>
    <t>Trinity Law School</t>
  </si>
  <si>
    <t>Trinity University</t>
  </si>
  <si>
    <t>Trinity Valley Community College</t>
  </si>
  <si>
    <t>Trinity Washington University</t>
  </si>
  <si>
    <t>Tri-Rivers Career Center</t>
  </si>
  <si>
    <t>Tri-State Barber College</t>
  </si>
  <si>
    <t>Tri-State Bible College</t>
  </si>
  <si>
    <t>Tri-State Cosmetology Institute</t>
  </si>
  <si>
    <t>Triton College</t>
  </si>
  <si>
    <t>Trocaire College</t>
  </si>
  <si>
    <t>Troy University</t>
  </si>
  <si>
    <t>Truckee Meadows Community College</t>
  </si>
  <si>
    <t>Truett McConnell University</t>
  </si>
  <si>
    <t>Truman State University</t>
  </si>
  <si>
    <t>Trumbull Career &amp; Technical Center</t>
  </si>
  <si>
    <t>Tuana European Beauty Academy</t>
  </si>
  <si>
    <t>Tucson College of Beauty</t>
  </si>
  <si>
    <t>Tufts University</t>
  </si>
  <si>
    <t>Tulane University of Louisiana</t>
  </si>
  <si>
    <t>Tulsa Community College</t>
  </si>
  <si>
    <t>Tulsa Technology Center</t>
  </si>
  <si>
    <t>Tulsa Welding School-Houston</t>
  </si>
  <si>
    <t>Tulsa Welding School-Jacksonville</t>
  </si>
  <si>
    <t>Tulsa Welding School-Tulsa</t>
  </si>
  <si>
    <t>Tunxis Community College</t>
  </si>
  <si>
    <t>Turing School of Software &amp; Design</t>
  </si>
  <si>
    <t>Turning Point Beauty College</t>
  </si>
  <si>
    <t>Turtle Mountain Community College</t>
  </si>
  <si>
    <t>Tusculum University</t>
  </si>
  <si>
    <t>Tuskegee University</t>
  </si>
  <si>
    <t>Twin City Beauty College</t>
  </si>
  <si>
    <t>Tyler Junior College</t>
  </si>
  <si>
    <t>U.S. Truck Driver Training School</t>
  </si>
  <si>
    <t>UCAS University of Cosmetology Arts &amp; Sciences</t>
  </si>
  <si>
    <t>UCAS University of Cosmetology Arts &amp; Sciences-Harlingen</t>
  </si>
  <si>
    <t>UCAS University of Cosmetology Arts &amp; Sciences-La Joya</t>
  </si>
  <si>
    <t>UCAS University of Cosmetology Arts &amp; Sciences-McAllen</t>
  </si>
  <si>
    <t>UCAS University of Cosmetology Arts &amp; Sciences-San Antonio 410</t>
  </si>
  <si>
    <t>UEI College-Bakersfield</t>
  </si>
  <si>
    <t>UEI College-Fresno</t>
  </si>
  <si>
    <t>UEI College-Gardena</t>
  </si>
  <si>
    <t>UEI College-Riverside</t>
  </si>
  <si>
    <t>UEI College-Sacramento</t>
  </si>
  <si>
    <t>UEI College-United Education Institute-Las Vegas</t>
  </si>
  <si>
    <t>Uintah Basin Technical College</t>
  </si>
  <si>
    <t>Ukiah Adult School</t>
  </si>
  <si>
    <t>Ulster BOCES-School of Practical Nursing</t>
  </si>
  <si>
    <t>Ulster County Community College</t>
  </si>
  <si>
    <t>Ultimate Medical Academy</t>
  </si>
  <si>
    <t>Ultrasound Medical Institute</t>
  </si>
  <si>
    <t>Umpqua Community College</t>
  </si>
  <si>
    <t>Unification Theological Seminary</t>
  </si>
  <si>
    <t>Union Bible College</t>
  </si>
  <si>
    <t>Union College</t>
  </si>
  <si>
    <t>Union County College</t>
  </si>
  <si>
    <t>Union County Vocational Technical School</t>
  </si>
  <si>
    <t>Union Institute &amp; University</t>
  </si>
  <si>
    <t>Union Presbyterian Seminary</t>
  </si>
  <si>
    <t>Union Theological Seminary in the City of New York</t>
  </si>
  <si>
    <t>Union University</t>
  </si>
  <si>
    <t>Unitech Training Academy-Alexandria</t>
  </si>
  <si>
    <t>Unitech Training Academy-Baton Rouge</t>
  </si>
  <si>
    <t>Unitech Training Academy-Houma</t>
  </si>
  <si>
    <t>Unitech Training Academy-Lafayette</t>
  </si>
  <si>
    <t>Unitech Training Academy-Lake Charles</t>
  </si>
  <si>
    <t>Unitech Training Academy-New Orleans</t>
  </si>
  <si>
    <t>Unitech Training Academy-West Monroe</t>
  </si>
  <si>
    <t>United Beauty College</t>
  </si>
  <si>
    <t>United College of Health and Beauty</t>
  </si>
  <si>
    <t>United Education Institute - UEI College - Phoenix</t>
  </si>
  <si>
    <t>United Education Institute-Chula Vista</t>
  </si>
  <si>
    <t>United Education Institute-Encino</t>
  </si>
  <si>
    <t>United Education Institute-Garden Grove</t>
  </si>
  <si>
    <t>United Education Institute-Huntington Park Campus</t>
  </si>
  <si>
    <t>United Education Institute-Morrow</t>
  </si>
  <si>
    <t>United Education Institute-Ontario</t>
  </si>
  <si>
    <t>United Education Institute-UEI College Stockton</t>
  </si>
  <si>
    <t>United Education Institute-UEI College-Mesa</t>
  </si>
  <si>
    <t>United Education Institute-UEI College-Oceanside</t>
  </si>
  <si>
    <t>United Education Institute-West Covina</t>
  </si>
  <si>
    <t>United International College</t>
  </si>
  <si>
    <t>United Lutheran Seminary</t>
  </si>
  <si>
    <t>United States Air Force Academy</t>
  </si>
  <si>
    <t>United States Coast Guard Academy</t>
  </si>
  <si>
    <t>United States Merchant Marine Academy</t>
  </si>
  <si>
    <t>United States Military Academy</t>
  </si>
  <si>
    <t>United States Naval Academy</t>
  </si>
  <si>
    <t>United States Sports Academy</t>
  </si>
  <si>
    <t>United States University</t>
  </si>
  <si>
    <t>United Talmudical Seminary</t>
  </si>
  <si>
    <t>United Technical Center</t>
  </si>
  <si>
    <t>United Theological Seminary</t>
  </si>
  <si>
    <t>United Theological Seminary of the Twin Cities</t>
  </si>
  <si>
    <t>United Tribes Technical College</t>
  </si>
  <si>
    <t>Unitek College</t>
  </si>
  <si>
    <t>Unity College</t>
  </si>
  <si>
    <t>UnityPoint Health-Des Moines School of Radiologic Technology</t>
  </si>
  <si>
    <t>Universal Career School</t>
  </si>
  <si>
    <t>Universal College of Beauty Inc-Los Angeles 2</t>
  </si>
  <si>
    <t>Universal College of Healing Arts</t>
  </si>
  <si>
    <t>Universal Healthcare Careers College</t>
  </si>
  <si>
    <t>Universal Spa Training Academy</t>
  </si>
  <si>
    <t>Universal Technical Institute of Arizona Inc</t>
  </si>
  <si>
    <t>Universal Technical Institute of Arizona Inc-Motorcycle Mechanics Institute Division</t>
  </si>
  <si>
    <t>Universal Technical Institute of California Inc</t>
  </si>
  <si>
    <t>Universal Technical Institute of Illinois Inc</t>
  </si>
  <si>
    <t>Universal Technical Institute of Northern California Inc</t>
  </si>
  <si>
    <t>Universal Technical Institute of Pennsylvania Inc</t>
  </si>
  <si>
    <t>Universal Technical Institute of Texas Inc.</t>
  </si>
  <si>
    <t>Universal Technical Institute-Auto Motorcycle &amp; Marine Mechanics Institute Division-Orlando</t>
  </si>
  <si>
    <t>Universal Technical Institute-Bloomfield</t>
  </si>
  <si>
    <t>Universal Technical Institute-Dallas Fort Worth</t>
  </si>
  <si>
    <t>Universal Technical Institute-Southern California</t>
  </si>
  <si>
    <t>Universal Technical Institute-West Texas</t>
  </si>
  <si>
    <t>Universal Technology College of Puerto Rico</t>
  </si>
  <si>
    <t>Universal Training Institute</t>
  </si>
  <si>
    <t>Universidad Adventista de las Antillas</t>
  </si>
  <si>
    <t>Universidad Ana G. Mendez-Carolina Campus</t>
  </si>
  <si>
    <t>Universidad Ana G. Mendez-Cupey Campus</t>
  </si>
  <si>
    <t>Universidad Ana G. Mendez-Gurabo Campus</t>
  </si>
  <si>
    <t>Universidad Central de Bayamon</t>
  </si>
  <si>
    <t>Universidad Central Del Caribe</t>
  </si>
  <si>
    <t>Universidad del Sagrado Corazon</t>
  </si>
  <si>
    <t>Universidad Pentecostal Mizpa</t>
  </si>
  <si>
    <t>Universidad Politecnica de Puerto Rico</t>
  </si>
  <si>
    <t>Universidad Teologica del Caribe</t>
  </si>
  <si>
    <t>University Academy of Hair Design</t>
  </si>
  <si>
    <t>University at Buffalo</t>
  </si>
  <si>
    <t>University of Advancing Technology</t>
  </si>
  <si>
    <t>University of Aesthetics &amp; Cosmetology</t>
  </si>
  <si>
    <t>University of Akron Main Campus</t>
  </si>
  <si>
    <t>University of Akron Wayne College</t>
  </si>
  <si>
    <t>University of Alabama at Birmingham</t>
  </si>
  <si>
    <t>University of Alabama in Huntsville</t>
  </si>
  <si>
    <t>University of Alabama System Office</t>
  </si>
  <si>
    <t>University of Alaska Anchorage</t>
  </si>
  <si>
    <t>University of Alaska Fairbanks</t>
  </si>
  <si>
    <t>University of Alaska Southeast</t>
  </si>
  <si>
    <t>University of Alaska System of Higher Education</t>
  </si>
  <si>
    <t>University of Antelope Valley</t>
  </si>
  <si>
    <t>University of Arizona</t>
  </si>
  <si>
    <t>University of Arizona-Sierra Vista</t>
  </si>
  <si>
    <t>University of Arkansas</t>
  </si>
  <si>
    <t>University of Arkansas at Little Rock</t>
  </si>
  <si>
    <t>University of Arkansas at Monticello</t>
  </si>
  <si>
    <t>University of Arkansas at Pine Bluff</t>
  </si>
  <si>
    <t>University of Arkansas Community College Rich Mountain</t>
  </si>
  <si>
    <t>University of Arkansas Community College-Batesville</t>
  </si>
  <si>
    <t>University of Arkansas Community College-Morrilton</t>
  </si>
  <si>
    <t>University of Arkansas for Medical Sciences</t>
  </si>
  <si>
    <t>University of Arkansas Hope-Texarkana</t>
  </si>
  <si>
    <t>University of Arkansas System eVersity</t>
  </si>
  <si>
    <t>University of Arkansas System Office</t>
  </si>
  <si>
    <t>University of Arkansas-Fort Smith</t>
  </si>
  <si>
    <t>University of Arkansas-Pulaski Technical College</t>
  </si>
  <si>
    <t>University of Baltimore</t>
  </si>
  <si>
    <t>University of Bridgeport</t>
  </si>
  <si>
    <t>University of California-Berkeley</t>
  </si>
  <si>
    <t>University of California-Davis</t>
  </si>
  <si>
    <t>University of California-Hastings College of Law</t>
  </si>
  <si>
    <t>University of California-Irvine</t>
  </si>
  <si>
    <t>University of California-Los Angeles</t>
  </si>
  <si>
    <t>University of California-Merced</t>
  </si>
  <si>
    <t>University of California-Riverside</t>
  </si>
  <si>
    <t>University of California-San Diego</t>
  </si>
  <si>
    <t>University of California-San Francisco</t>
  </si>
  <si>
    <t>University of California-Santa Barbara</t>
  </si>
  <si>
    <t>University of California-Santa Cruz</t>
  </si>
  <si>
    <t>University of California-System Administration Central Office</t>
  </si>
  <si>
    <t>University of Central Arkansas</t>
  </si>
  <si>
    <t>University of Central Florida</t>
  </si>
  <si>
    <t>University of Central Missouri</t>
  </si>
  <si>
    <t>University of Central Oklahoma</t>
  </si>
  <si>
    <t>University of Charleston</t>
  </si>
  <si>
    <t>University of Chicago</t>
  </si>
  <si>
    <t>University of Cincinnati-Blue Ash College</t>
  </si>
  <si>
    <t>University of Cincinnati-Clermont College</t>
  </si>
  <si>
    <t>University of Cincinnati-Main Campus</t>
  </si>
  <si>
    <t>University of Colorado Boulder</t>
  </si>
  <si>
    <t>University of Colorado Colorado Springs</t>
  </si>
  <si>
    <t>University of Colorado Denver/Anschutz Medical Campus</t>
  </si>
  <si>
    <t>University of Colorado System Office</t>
  </si>
  <si>
    <t>University of Connecticut</t>
  </si>
  <si>
    <t>University of Connecticut-Avery Point</t>
  </si>
  <si>
    <t>University of Connecticut-Hartford Campus</t>
  </si>
  <si>
    <t>University of Connecticut-Stamford</t>
  </si>
  <si>
    <t>University of Connecticut-Waterbury Campus</t>
  </si>
  <si>
    <t>University of Dallas</t>
  </si>
  <si>
    <t>University of Dayton</t>
  </si>
  <si>
    <t>University of Delaware</t>
  </si>
  <si>
    <t>University of Denver</t>
  </si>
  <si>
    <t>University of Detroit Mercy</t>
  </si>
  <si>
    <t>University of Dubuque</t>
  </si>
  <si>
    <t>University of East-West Medicine</t>
  </si>
  <si>
    <t>University of Evansville</t>
  </si>
  <si>
    <t>University of Florida</t>
  </si>
  <si>
    <t>University of Florida-Online</t>
  </si>
  <si>
    <t>University of Fort Lauderdale</t>
  </si>
  <si>
    <t>University of Georgia</t>
  </si>
  <si>
    <t>University of Guam</t>
  </si>
  <si>
    <t>University of Hartford</t>
  </si>
  <si>
    <t>University of Hawaii at Hilo</t>
  </si>
  <si>
    <t>University of Hawaii at Manoa</t>
  </si>
  <si>
    <t>University of Hawaii Maui College</t>
  </si>
  <si>
    <t>University of Hawaii System Office</t>
  </si>
  <si>
    <t>University of Hawaii-West Oahu</t>
  </si>
  <si>
    <t>University of Health Sciences and Pharmacy in St. Louis</t>
  </si>
  <si>
    <t>University of Holy Cross</t>
  </si>
  <si>
    <t>University of Houston</t>
  </si>
  <si>
    <t>University of Houston-Clear Lake</t>
  </si>
  <si>
    <t>University of Houston-Downtown</t>
  </si>
  <si>
    <t>University of Houston-System Administration</t>
  </si>
  <si>
    <t>University of Houston-Victoria</t>
  </si>
  <si>
    <t>University of Idaho</t>
  </si>
  <si>
    <t>University of Illinois Chicago</t>
  </si>
  <si>
    <t>University of Illinois Springfield</t>
  </si>
  <si>
    <t>University of Illinois System Offices</t>
  </si>
  <si>
    <t>University of Illinois Urbana-Champaign</t>
  </si>
  <si>
    <t>University of Indianapolis</t>
  </si>
  <si>
    <t>University of Iowa</t>
  </si>
  <si>
    <t>University of Jamestown</t>
  </si>
  <si>
    <t>University of Kansas</t>
  </si>
  <si>
    <t>University of Kentucky</t>
  </si>
  <si>
    <t>University of La Verne</t>
  </si>
  <si>
    <t>University of Louisiana at Lafayette</t>
  </si>
  <si>
    <t>University of Louisiana at Monroe</t>
  </si>
  <si>
    <t>University of Louisiana-System Administration</t>
  </si>
  <si>
    <t>University of Louisville</t>
  </si>
  <si>
    <t>University of Lynchburg</t>
  </si>
  <si>
    <t>University of Maine</t>
  </si>
  <si>
    <t>University of Maine at Augusta</t>
  </si>
  <si>
    <t>University of Maine at Farmington</t>
  </si>
  <si>
    <t>University of Maine at Fort Kent</t>
  </si>
  <si>
    <t>University of Maine at Machias</t>
  </si>
  <si>
    <t>University of Maine at Presque Isle</t>
  </si>
  <si>
    <t>University of Maine-System Central Office</t>
  </si>
  <si>
    <t>University of Management and Technology</t>
  </si>
  <si>
    <t>University of Mary</t>
  </si>
  <si>
    <t>University of Mary Hardin-Baylor</t>
  </si>
  <si>
    <t>University of Mary Washington</t>
  </si>
  <si>
    <t>University of Maryland Eastern Shore</t>
  </si>
  <si>
    <t>University of Maryland Global Campus</t>
  </si>
  <si>
    <t>University of Maryland, Baltimore</t>
  </si>
  <si>
    <t>University of Maryland-Baltimore County</t>
  </si>
  <si>
    <t>University of Maryland-College Park</t>
  </si>
  <si>
    <t>University of Massachusetts Global</t>
  </si>
  <si>
    <t>University of Massachusetts Medical School Worcester</t>
  </si>
  <si>
    <t>University of Massachusetts-Amherst</t>
  </si>
  <si>
    <t>University of Massachusetts-Boston</t>
  </si>
  <si>
    <t>University of Massachusetts-Central Office</t>
  </si>
  <si>
    <t>University of Massachusetts-Dartmouth</t>
  </si>
  <si>
    <t>University of Massachusetts-Lowell</t>
  </si>
  <si>
    <t>University of Memphis</t>
  </si>
  <si>
    <t>University of Miami</t>
  </si>
  <si>
    <t>University of Michigan-Ann Arbor</t>
  </si>
  <si>
    <t>University of Michigan-Dearborn</t>
  </si>
  <si>
    <t>University of Michigan-Flint</t>
  </si>
  <si>
    <t>University of Minnesota-Crookston</t>
  </si>
  <si>
    <t>University of Minnesota-Duluth</t>
  </si>
  <si>
    <t>University of Minnesota-Morris</t>
  </si>
  <si>
    <t>University of Minnesota-Rochester</t>
  </si>
  <si>
    <t>University of Minnesota-Twin Cities</t>
  </si>
  <si>
    <t>University of Mississippi</t>
  </si>
  <si>
    <t>University of Missouri-Columbia</t>
  </si>
  <si>
    <t>University of Missouri-Kansas City</t>
  </si>
  <si>
    <t>University of Missouri-St Louis</t>
  </si>
  <si>
    <t>University of Missouri-System Office</t>
  </si>
  <si>
    <t>University of Mobile</t>
  </si>
  <si>
    <t>University of Montevallo</t>
  </si>
  <si>
    <t>University of Mount Olive</t>
  </si>
  <si>
    <t>University of Mount Union</t>
  </si>
  <si>
    <t>University of Nebraska at Kearney</t>
  </si>
  <si>
    <t>University of Nebraska at Omaha</t>
  </si>
  <si>
    <t>University of Nebraska Medical Center</t>
  </si>
  <si>
    <t>University of Nebraska-Central Administration System Office</t>
  </si>
  <si>
    <t>University of Nebraska-Lincoln</t>
  </si>
  <si>
    <t>University of Nevada-Las Vegas</t>
  </si>
  <si>
    <t>University of Nevada-Reno</t>
  </si>
  <si>
    <t>University of New England</t>
  </si>
  <si>
    <t>University of New Hampshire at Manchester</t>
  </si>
  <si>
    <t>University of New Hampshire-Franklin Pierce School of Law</t>
  </si>
  <si>
    <t>University of New Hampshire-Main Campus</t>
  </si>
  <si>
    <t>University of New Haven</t>
  </si>
  <si>
    <t>University of New Mexico-Gallup Campus</t>
  </si>
  <si>
    <t>University of New Mexico-Los Alamos Campus</t>
  </si>
  <si>
    <t>University of New Mexico-Main Campus</t>
  </si>
  <si>
    <t>University of New Mexico-Taos Campus</t>
  </si>
  <si>
    <t>University of New Mexico-Valencia County Campus</t>
  </si>
  <si>
    <t>University of New Orleans</t>
  </si>
  <si>
    <t>University of North Alabama</t>
  </si>
  <si>
    <t>University of North Carolina at Asheville</t>
  </si>
  <si>
    <t>University of North Carolina at Chapel Hill</t>
  </si>
  <si>
    <t>University of North Carolina at Charlotte</t>
  </si>
  <si>
    <t>University of North Carolina at Greensboro</t>
  </si>
  <si>
    <t>University of North Carolina at Pembroke</t>
  </si>
  <si>
    <t>University of North Carolina School of the Arts</t>
  </si>
  <si>
    <t>University of North Carolina System</t>
  </si>
  <si>
    <t>University of North Carolina Wilmington</t>
  </si>
  <si>
    <t>University of North Dakota</t>
  </si>
  <si>
    <t>University of North Florida</t>
  </si>
  <si>
    <t>University of North Georgia</t>
  </si>
  <si>
    <t>University of North Texas</t>
  </si>
  <si>
    <t>University of North Texas at Dallas</t>
  </si>
  <si>
    <t>University of North Texas Health Science Center</t>
  </si>
  <si>
    <t>University of North Texas System</t>
  </si>
  <si>
    <t>University of Northern Colorado</t>
  </si>
  <si>
    <t>University of Northern Iowa</t>
  </si>
  <si>
    <t>University of Northwestern Ohio</t>
  </si>
  <si>
    <t>University of Northwestern-St Paul</t>
  </si>
  <si>
    <t>University of Notre Dame</t>
  </si>
  <si>
    <t>University of Oklahoma-Health Sciences Center</t>
  </si>
  <si>
    <t>University of Oklahoma-Norman Campus</t>
  </si>
  <si>
    <t>University of Oregon</t>
  </si>
  <si>
    <t>University of Pennsylvania</t>
  </si>
  <si>
    <t>University of Phoenix-Arizona</t>
  </si>
  <si>
    <t>University of Phoenix-California</t>
  </si>
  <si>
    <t>University of Phoenix-Florida</t>
  </si>
  <si>
    <t>University of Phoenix-Georgia</t>
  </si>
  <si>
    <t>University of Phoenix-Hawaii</t>
  </si>
  <si>
    <t>University of Phoenix-Illinois</t>
  </si>
  <si>
    <t>University of Phoenix-Nevada</t>
  </si>
  <si>
    <t>University of Phoenix-New Jersey</t>
  </si>
  <si>
    <t>University of Phoenix-Texas</t>
  </si>
  <si>
    <t>University of Phoenix-Utah</t>
  </si>
  <si>
    <t>University of Pikeville</t>
  </si>
  <si>
    <t>University of Pittsburgh-Bradford</t>
  </si>
  <si>
    <t>University of Pittsburgh-Greensburg</t>
  </si>
  <si>
    <t>University of Pittsburgh-Johnstown</t>
  </si>
  <si>
    <t>University of Pittsburgh-Pittsburgh Campus</t>
  </si>
  <si>
    <t>University of Pittsburgh-Titusville</t>
  </si>
  <si>
    <t>University of Portland</t>
  </si>
  <si>
    <t>University of Providence</t>
  </si>
  <si>
    <t>University of Puerto Rico at Ponce</t>
  </si>
  <si>
    <t>University of Puerto Rico-Aguadilla</t>
  </si>
  <si>
    <t>University of Puerto Rico-Arecibo</t>
  </si>
  <si>
    <t>University of Puerto Rico-Bayamon</t>
  </si>
  <si>
    <t>University of Puerto Rico-Carolina</t>
  </si>
  <si>
    <t>University of Puerto Rico-Cayey</t>
  </si>
  <si>
    <t>University of Puerto Rico-Central Administration</t>
  </si>
  <si>
    <t>University of Puerto Rico-Humacao</t>
  </si>
  <si>
    <t>University of Puerto Rico-Mayaguez</t>
  </si>
  <si>
    <t>University of Puerto Rico-Medical Sciences</t>
  </si>
  <si>
    <t>University of Puerto Rico-Rio Piedras</t>
  </si>
  <si>
    <t>University of Puerto Rico-Utuado</t>
  </si>
  <si>
    <t>University of Puget Sound</t>
  </si>
  <si>
    <t>University of Redlands</t>
  </si>
  <si>
    <t>University of Rhode Island</t>
  </si>
  <si>
    <t>University of Richmond</t>
  </si>
  <si>
    <t>University of Rio Grande</t>
  </si>
  <si>
    <t>University of Rochester</t>
  </si>
  <si>
    <t>University of Saint Francis-Fort Wayne</t>
  </si>
  <si>
    <t>University of Saint Joseph</t>
  </si>
  <si>
    <t>University of Saint Katherine</t>
  </si>
  <si>
    <t>University of Saint Mary</t>
  </si>
  <si>
    <t>University of Saint Mary of the Lake</t>
  </si>
  <si>
    <t>University of San Diego</t>
  </si>
  <si>
    <t>University of San Francisco</t>
  </si>
  <si>
    <t>University of Science and Arts of Oklahoma</t>
  </si>
  <si>
    <t>University of Scranton</t>
  </si>
  <si>
    <t>University of Silicon Valley</t>
  </si>
  <si>
    <t>University of Sioux Falls</t>
  </si>
  <si>
    <t>University of South Alabama</t>
  </si>
  <si>
    <t>University of South Carolina Aiken</t>
  </si>
  <si>
    <t>University of South Carolina Beaufort</t>
  </si>
  <si>
    <t>University of South Carolina-Columbia</t>
  </si>
  <si>
    <t>University of South Carolina-Lancaster</t>
  </si>
  <si>
    <t>University of South Carolina-Salkehatchie</t>
  </si>
  <si>
    <t>University of South Carolina-Sumter</t>
  </si>
  <si>
    <t>University of South Carolina-Union</t>
  </si>
  <si>
    <t>University of South Carolina-Upstate</t>
  </si>
  <si>
    <t>University of South Dakota</t>
  </si>
  <si>
    <t>University of South Florida</t>
  </si>
  <si>
    <t>University of Southern California</t>
  </si>
  <si>
    <t>University of Southern Indiana</t>
  </si>
  <si>
    <t>University of Southern Maine</t>
  </si>
  <si>
    <t>University of Southern Mississippi</t>
  </si>
  <si>
    <t>University of Spa &amp; Cosmetology Arts</t>
  </si>
  <si>
    <t>University of St Francis</t>
  </si>
  <si>
    <t>University of St Thomas</t>
  </si>
  <si>
    <t>University of St. Augustine for Health Sciences</t>
  </si>
  <si>
    <t>University of Texas Health Science Center at Tyler</t>
  </si>
  <si>
    <t>University of Texas Southwestern Medical Center</t>
  </si>
  <si>
    <t>University of the Cumberlands</t>
  </si>
  <si>
    <t>University of the District of Columbia</t>
  </si>
  <si>
    <t>University of the District of Columbia-David A Clarke School of Law</t>
  </si>
  <si>
    <t>University of the Incarnate Word</t>
  </si>
  <si>
    <t>University of the Ozarks</t>
  </si>
  <si>
    <t>University of the Pacific</t>
  </si>
  <si>
    <t>University of the People</t>
  </si>
  <si>
    <t>University of the Potomac-VA Campus</t>
  </si>
  <si>
    <t>University of the Potomac-Washington DC Campus</t>
  </si>
  <si>
    <t>University of the Sciences</t>
  </si>
  <si>
    <t>University of the Southwest</t>
  </si>
  <si>
    <t>University of the Virgin Islands</t>
  </si>
  <si>
    <t>University of the West</t>
  </si>
  <si>
    <t>University of Toledo</t>
  </si>
  <si>
    <t>University of Tulsa</t>
  </si>
  <si>
    <t>University of Utah</t>
  </si>
  <si>
    <t>University of Valley Forge</t>
  </si>
  <si>
    <t>University of Vermont</t>
  </si>
  <si>
    <t>University of Virginia-Main Campus</t>
  </si>
  <si>
    <t>University of Virginia's College at Wise</t>
  </si>
  <si>
    <t>University of Washington-Bothell Campus</t>
  </si>
  <si>
    <t>University of Washington-Seattle Campus</t>
  </si>
  <si>
    <t>University of Washington-Tacoma Campus</t>
  </si>
  <si>
    <t>University of West Alabama</t>
  </si>
  <si>
    <t>University of West Georgia</t>
  </si>
  <si>
    <t>University of West Los Angeles</t>
  </si>
  <si>
    <t>University of Western States</t>
  </si>
  <si>
    <t>University of Wisconsin-Eau Claire</t>
  </si>
  <si>
    <t>University of Wisconsin-Green Bay</t>
  </si>
  <si>
    <t>University of Wisconsin-La Crosse</t>
  </si>
  <si>
    <t>University of Wisconsin-Madison</t>
  </si>
  <si>
    <t>University of Wisconsin-Milwaukee</t>
  </si>
  <si>
    <t>University of Wisconsin-Milwaukee Flex</t>
  </si>
  <si>
    <t>University of Wisconsin-Oshkosh</t>
  </si>
  <si>
    <t>University of Wisconsin-Parkside</t>
  </si>
  <si>
    <t>University of Wisconsin-Parkside Flex</t>
  </si>
  <si>
    <t>University of Wisconsin-Platteville</t>
  </si>
  <si>
    <t>University of Wisconsin-River Falls</t>
  </si>
  <si>
    <t>University of Wisconsin-Stevens Point</t>
  </si>
  <si>
    <t>University of Wisconsin-Stout</t>
  </si>
  <si>
    <t>University of Wisconsin-Superior</t>
  </si>
  <si>
    <t>University of Wisconsin-System Administration</t>
  </si>
  <si>
    <t>University of Wisconsin-Whitewater</t>
  </si>
  <si>
    <t>University of Wyoming</t>
  </si>
  <si>
    <t>University System of Maryland</t>
  </si>
  <si>
    <t>University System of Maryland-Research Centers</t>
  </si>
  <si>
    <t>University System of New Hampshire System Office</t>
  </si>
  <si>
    <t>Unlimited Cosmetology School</t>
  </si>
  <si>
    <t>UPMC Jameson School of Nursing</t>
  </si>
  <si>
    <t>UPMC Mercy School of Nursing</t>
  </si>
  <si>
    <t>UPMC Shadyside School of Nursing</t>
  </si>
  <si>
    <t>UPMC St. Margaret School of Nursing</t>
  </si>
  <si>
    <t>Upper Cape Cod Regional Technical School</t>
  </si>
  <si>
    <t>Upper Iowa University</t>
  </si>
  <si>
    <t>Upper Valley Career Center</t>
  </si>
  <si>
    <t>Upper Valley Educators Institute</t>
  </si>
  <si>
    <t>Upstate Medical University</t>
  </si>
  <si>
    <t>UR Beauty &amp; Barber Academy</t>
  </si>
  <si>
    <t>Urban Barber College</t>
  </si>
  <si>
    <t>Urban College of Boston</t>
  </si>
  <si>
    <t>Urshan College</t>
  </si>
  <si>
    <t>Urshan Graduate School of Theology</t>
  </si>
  <si>
    <t>Ursinus College</t>
  </si>
  <si>
    <t>Ursuline College</t>
  </si>
  <si>
    <t>Uta Mesivta of Kiryas Joel</t>
  </si>
  <si>
    <t>Utah State University</t>
  </si>
  <si>
    <t>Utah Valley University</t>
  </si>
  <si>
    <t>Utica University</t>
  </si>
  <si>
    <t>Valdosta State University</t>
  </si>
  <si>
    <t>Valencia College</t>
  </si>
  <si>
    <t>Valley City State University</t>
  </si>
  <si>
    <t>Valley College of Medical Careers</t>
  </si>
  <si>
    <t>Valley College-Beckley</t>
  </si>
  <si>
    <t>Valley College-Cleveland</t>
  </si>
  <si>
    <t>Valley College-Martinsburg</t>
  </si>
  <si>
    <t>Valley Forge Military College</t>
  </si>
  <si>
    <t>Valley Grande Institute for Academic Studies</t>
  </si>
  <si>
    <t>Valor Christian College</t>
  </si>
  <si>
    <t>Valparaiso University</t>
  </si>
  <si>
    <t>Vance-Granville Community College</t>
  </si>
  <si>
    <t>Vanderbilt University</t>
  </si>
  <si>
    <t>VanderCook College of Music</t>
  </si>
  <si>
    <t>Vanguard College of Cosmetology-Baton Rouge</t>
  </si>
  <si>
    <t>Vanguard College of Cosmetology-Metairie</t>
  </si>
  <si>
    <t>Vanguard University of Southern California</t>
  </si>
  <si>
    <t>Vanguard-Sentinel Adult Career and Technology Center</t>
  </si>
  <si>
    <t>Vantage Career Center</t>
  </si>
  <si>
    <t>Vassar College</t>
  </si>
  <si>
    <t>Vaughn Beauty College</t>
  </si>
  <si>
    <t>Vaughn College of Aeronautics and Technology</t>
  </si>
  <si>
    <t>Veeb Nassau County School of Practical Nursing</t>
  </si>
  <si>
    <t>Velvatex College of Beauty Culture</t>
  </si>
  <si>
    <t>Venango County Area Vocational Technical School</t>
  </si>
  <si>
    <t>Ventura Adult and Continuing Education</t>
  </si>
  <si>
    <t>Ventura College</t>
  </si>
  <si>
    <t>Ventura County Community College System Office</t>
  </si>
  <si>
    <t>Venus Beauty Academy</t>
  </si>
  <si>
    <t>Veritas Baptist College</t>
  </si>
  <si>
    <t>Vermilion Community College</t>
  </si>
  <si>
    <t>Vermont College of Fine Arts</t>
  </si>
  <si>
    <t>Vermont Law School</t>
  </si>
  <si>
    <t>Vermont State Colleges-Office of the Chancellor</t>
  </si>
  <si>
    <t>Vermont Technical College</t>
  </si>
  <si>
    <t>Vernon College</t>
  </si>
  <si>
    <t>Verve College</t>
  </si>
  <si>
    <t>Vet Tech Institute</t>
  </si>
  <si>
    <t>Vet Tech Institute of Houston</t>
  </si>
  <si>
    <t>VH Barber &amp; Styling Academy</t>
  </si>
  <si>
    <t>Vibe Barber College</t>
  </si>
  <si>
    <t>VICI Beauty School</t>
  </si>
  <si>
    <t>Victor Valley College</t>
  </si>
  <si>
    <t>Victoria Beauty College Inc</t>
  </si>
  <si>
    <t>Victoria College</t>
  </si>
  <si>
    <t>Victoria's Academy of Cosmetology</t>
  </si>
  <si>
    <t>Victory Career College</t>
  </si>
  <si>
    <t>Villa Maria College</t>
  </si>
  <si>
    <t>Villanova University</t>
  </si>
  <si>
    <t>Vincennes Beauty College</t>
  </si>
  <si>
    <t>Vincennes University</t>
  </si>
  <si>
    <t>Virginia Beach City Public Schools School of Practical Nursing</t>
  </si>
  <si>
    <t>Virginia Beach Theological Seminary</t>
  </si>
  <si>
    <t>Virginia Commonwealth University</t>
  </si>
  <si>
    <t>Virginia Highlands Community College</t>
  </si>
  <si>
    <t>Virginia Military Institute</t>
  </si>
  <si>
    <t>Virginia Peninsula Community College</t>
  </si>
  <si>
    <t>Virginia Polytechnic Institute and State University</t>
  </si>
  <si>
    <t>Virginia State University</t>
  </si>
  <si>
    <t>Virginia Union University</t>
  </si>
  <si>
    <t>Virginia University of Integrative Medicine</t>
  </si>
  <si>
    <t>Virginia University of Lynchburg</t>
  </si>
  <si>
    <t>Virginia Wesleyan University</t>
  </si>
  <si>
    <t>Virginia Western Community College</t>
  </si>
  <si>
    <t>Visible Music College</t>
  </si>
  <si>
    <t>Vista Adult School</t>
  </si>
  <si>
    <t>Vista College</t>
  </si>
  <si>
    <t>Vista College-Online</t>
  </si>
  <si>
    <t>Viterbo University</t>
  </si>
  <si>
    <t>Vogue College of Cosmetology</t>
  </si>
  <si>
    <t>Vogue College of Cosmetology-McAllen</t>
  </si>
  <si>
    <t>Vogue College of Cosmetology-San Antonio Fredericksburg</t>
  </si>
  <si>
    <t>Vogue College of Cosmetology-Santa Fe</t>
  </si>
  <si>
    <t>Vogue International Academy</t>
  </si>
  <si>
    <t>Volunteer State Community College</t>
  </si>
  <si>
    <t>Voorhees College</t>
  </si>
  <si>
    <t>Vski Cosmetology School</t>
  </si>
  <si>
    <t>W L Bonner College</t>
  </si>
  <si>
    <t>Wabash College</t>
  </si>
  <si>
    <t>Wabash Valley College</t>
  </si>
  <si>
    <t>Wade College</t>
  </si>
  <si>
    <t>Wade Gordon Hairdressing Academy</t>
  </si>
  <si>
    <t>Wade Gordon Hairdressing Academy-Lubbock</t>
  </si>
  <si>
    <t>Wagner College</t>
  </si>
  <si>
    <t>Wake Forest University</t>
  </si>
  <si>
    <t>Wake Technical Community College</t>
  </si>
  <si>
    <t>Walden University</t>
  </si>
  <si>
    <t>Waldorf University</t>
  </si>
  <si>
    <t>Walla Walla Community College</t>
  </si>
  <si>
    <t>Walla Walla University</t>
  </si>
  <si>
    <t>Walnut Hill College</t>
  </si>
  <si>
    <t>Walsh College</t>
  </si>
  <si>
    <t>Walsh University</t>
  </si>
  <si>
    <t>Walters State Community College</t>
  </si>
  <si>
    <t>Warner Pacific University</t>
  </si>
  <si>
    <t>Warner Pacific University Professional and Graduate Studies</t>
  </si>
  <si>
    <t>Warner University</t>
  </si>
  <si>
    <t>Warren County Career Center</t>
  </si>
  <si>
    <t>Warren County Community College</t>
  </si>
  <si>
    <t>Warren Wilson College</t>
  </si>
  <si>
    <t>Warrensburg Area Career Center</t>
  </si>
  <si>
    <t>Wartburg College</t>
  </si>
  <si>
    <t>Wartburg Theological Seminary</t>
  </si>
  <si>
    <t>Washburn Institute of Technology</t>
  </si>
  <si>
    <t>Washburn University</t>
  </si>
  <si>
    <t>Washington &amp; Jefferson College</t>
  </si>
  <si>
    <t>Washington Adventist University</t>
  </si>
  <si>
    <t>Washington and Lee University</t>
  </si>
  <si>
    <t>Washington Barber College Inc</t>
  </si>
  <si>
    <t>Washington College</t>
  </si>
  <si>
    <t>Washington County Career Center-Adult Technical Training</t>
  </si>
  <si>
    <t>Washington County Community College</t>
  </si>
  <si>
    <t>Washington Health System School of Nursing</t>
  </si>
  <si>
    <t>Washington Saratoga Warren Hamilton Essex BOCES-Practical Nursing Program</t>
  </si>
  <si>
    <t>Washington State Community College</t>
  </si>
  <si>
    <t>Washington State University</t>
  </si>
  <si>
    <t>Washington University in St Louis</t>
  </si>
  <si>
    <t>Washtenaw Community College</t>
  </si>
  <si>
    <t>Watts School of Nursing</t>
  </si>
  <si>
    <t>Waubonsee Community College</t>
  </si>
  <si>
    <t>Waukesha County Technical College</t>
  </si>
  <si>
    <t>Wave Leadership College</t>
  </si>
  <si>
    <t>Wayland Baptist University</t>
  </si>
  <si>
    <t>Wayne Community College</t>
  </si>
  <si>
    <t>Wayne County Community College District</t>
  </si>
  <si>
    <t>Wayne County Schools Career Center</t>
  </si>
  <si>
    <t>Wayne Finger Lakes BOCES-Practical Nursing Program</t>
  </si>
  <si>
    <t>Wayne State College</t>
  </si>
  <si>
    <t>Wayne State University</t>
  </si>
  <si>
    <t>Waynes College of Beauty</t>
  </si>
  <si>
    <t>Waynesburg University</t>
  </si>
  <si>
    <t>Waynesville Career Center</t>
  </si>
  <si>
    <t>Weatherford College</t>
  </si>
  <si>
    <t>Webb Institute</t>
  </si>
  <si>
    <t>Webber International University</t>
  </si>
  <si>
    <t>Webb's Barber School of Arts</t>
  </si>
  <si>
    <t>Weber State University</t>
  </si>
  <si>
    <t>Webster University</t>
  </si>
  <si>
    <t>Weill Medical College of Cornell University</t>
  </si>
  <si>
    <t>Welch College</t>
  </si>
  <si>
    <t>Welder Training and Testing Institute</t>
  </si>
  <si>
    <t>Wellesley College</t>
  </si>
  <si>
    <t>Wells College</t>
  </si>
  <si>
    <t>WellSpring School of Allied Health-Kansas City</t>
  </si>
  <si>
    <t>WellSpring School of Allied Health-Lawrence</t>
  </si>
  <si>
    <t>WellSpring School of Allied Health-Springfield</t>
  </si>
  <si>
    <t>WellSpring School of Allied Health-Wichita</t>
  </si>
  <si>
    <t>Wenatchee Valley College</t>
  </si>
  <si>
    <t>Wentworth Institute of Technology</t>
  </si>
  <si>
    <t>Wes Watkins Technology Center</t>
  </si>
  <si>
    <t>Wesley Biblical Seminary</t>
  </si>
  <si>
    <t>Wesley College</t>
  </si>
  <si>
    <t>Wesley Theological Seminary</t>
  </si>
  <si>
    <t>Wesleyan College</t>
  </si>
  <si>
    <t>Wesleyan University</t>
  </si>
  <si>
    <t>West Chester University of Pennsylvania</t>
  </si>
  <si>
    <t>West Coast University-Center for Graduate Studies</t>
  </si>
  <si>
    <t>West Coast University-Dallas</t>
  </si>
  <si>
    <t>West Coast University-Los Angeles</t>
  </si>
  <si>
    <t>West Coast University-Miami</t>
  </si>
  <si>
    <t>West Coast University-Ontario</t>
  </si>
  <si>
    <t>West Coast University-Orange County</t>
  </si>
  <si>
    <t>West Georgia Technical College</t>
  </si>
  <si>
    <t>West Hills College-Coalinga</t>
  </si>
  <si>
    <t>West Hills College-Lemoore</t>
  </si>
  <si>
    <t>West Hills Community College District</t>
  </si>
  <si>
    <t>West Kentucky Community and Technical College</t>
  </si>
  <si>
    <t>West Liberty University</t>
  </si>
  <si>
    <t>West Los Angeles College</t>
  </si>
  <si>
    <t>West Michigan College of Barbering and Beauty</t>
  </si>
  <si>
    <t>West Shore Community College</t>
  </si>
  <si>
    <t>West Texas A &amp; M University</t>
  </si>
  <si>
    <t>West Valley College</t>
  </si>
  <si>
    <t>West Valley Mission Community College District Office</t>
  </si>
  <si>
    <t>West Virginia Junior College-Bridgeport</t>
  </si>
  <si>
    <t>West Virginia Junior College-Charleston</t>
  </si>
  <si>
    <t>West Virginia Junior College-Morgantown</t>
  </si>
  <si>
    <t>West Virginia Junior College-United Career Institute</t>
  </si>
  <si>
    <t>West Virginia Northern Community College</t>
  </si>
  <si>
    <t>West Virginia School of Osteopathic Medicine</t>
  </si>
  <si>
    <t>West Virginia State University</t>
  </si>
  <si>
    <t>West Virginia University</t>
  </si>
  <si>
    <t>West Virginia University at Parkersburg</t>
  </si>
  <si>
    <t>West Virginia University Hospital Departments of Rad Tech and Nutrition</t>
  </si>
  <si>
    <t>West Virginia University Institute of Technology</t>
  </si>
  <si>
    <t>West Virginia Wesleyan College</t>
  </si>
  <si>
    <t>Westchester College of Nursing &amp; Allied Health</t>
  </si>
  <si>
    <t>Westchester School for Medical &amp; Dental Assistants</t>
  </si>
  <si>
    <t>Westchester School of Beauty Culture</t>
  </si>
  <si>
    <t>Westcliff University</t>
  </si>
  <si>
    <t>Western Area Career &amp; Technology Center</t>
  </si>
  <si>
    <t>Western Carolina University</t>
  </si>
  <si>
    <t>Western Colorado University</t>
  </si>
  <si>
    <t>Western Connecticut State University</t>
  </si>
  <si>
    <t>Western Dakota Technical College</t>
  </si>
  <si>
    <t>Western Governors University</t>
  </si>
  <si>
    <t>Western Illinois University</t>
  </si>
  <si>
    <t>Western Iowa Tech Community College</t>
  </si>
  <si>
    <t>Western Kentucky University</t>
  </si>
  <si>
    <t>Western Maricopa Education Center</t>
  </si>
  <si>
    <t>Western Michigan University</t>
  </si>
  <si>
    <t>Western Michigan University Homer Stryker M.D. School of Medicine</t>
  </si>
  <si>
    <t>Western Michigan University-Thomas M. Cooley Law School</t>
  </si>
  <si>
    <t>Western Nebraska Community College</t>
  </si>
  <si>
    <t>Western Nevada College</t>
  </si>
  <si>
    <t>Western New England University</t>
  </si>
  <si>
    <t>Western New Mexico University</t>
  </si>
  <si>
    <t>Western Oklahoma State College</t>
  </si>
  <si>
    <t>Western Oregon University</t>
  </si>
  <si>
    <t>Western Pennsylvania Hospital School of Nursing</t>
  </si>
  <si>
    <t>Western Piedmont Community College</t>
  </si>
  <si>
    <t>Western Seminary</t>
  </si>
  <si>
    <t>Western Suffolk BOCES</t>
  </si>
  <si>
    <t>Western Technical College</t>
  </si>
  <si>
    <t>Western Technology Center</t>
  </si>
  <si>
    <t>Western Texas College</t>
  </si>
  <si>
    <t>Western Theological Seminary</t>
  </si>
  <si>
    <t>Western University of Health Sciences</t>
  </si>
  <si>
    <t>Western Washington University</t>
  </si>
  <si>
    <t>Western Wyoming Community College</t>
  </si>
  <si>
    <t>Westfield State University</t>
  </si>
  <si>
    <t>Westminster College</t>
  </si>
  <si>
    <t>Westminster Theological Seminary</t>
  </si>
  <si>
    <t>Westminster Theological Seminary in California</t>
  </si>
  <si>
    <t>Westmont College</t>
  </si>
  <si>
    <t>Westmoreland County Community College</t>
  </si>
  <si>
    <t>Wharton County Junior College</t>
  </si>
  <si>
    <t>Whatcom Community College</t>
  </si>
  <si>
    <t>Wheaton College</t>
  </si>
  <si>
    <t>Wheaton College (Massachusetts)</t>
  </si>
  <si>
    <t>Wheeling University</t>
  </si>
  <si>
    <t>White Earth Tribal and Community College</t>
  </si>
  <si>
    <t>White Mountains Community College</t>
  </si>
  <si>
    <t>Whitman College</t>
  </si>
  <si>
    <t>Whittier College</t>
  </si>
  <si>
    <t>Whitworth University</t>
  </si>
  <si>
    <t>Whitworth University-Adult Degree Programs</t>
  </si>
  <si>
    <t>Wichita State University</t>
  </si>
  <si>
    <t>Wichita State University-Campus of Applied Sciences and Technology</t>
  </si>
  <si>
    <t>Wichita Technical Institute</t>
  </si>
  <si>
    <t>Widener University</t>
  </si>
  <si>
    <t>Wilberforce University</t>
  </si>
  <si>
    <t>Wiley College</t>
  </si>
  <si>
    <t>Wilkes Community College</t>
  </si>
  <si>
    <t>Wilkes University</t>
  </si>
  <si>
    <t>Wilkes-Barre Area Career and Technical Center Practical Nursing</t>
  </si>
  <si>
    <t>Willamette University</t>
  </si>
  <si>
    <t>William &amp; Mary</t>
  </si>
  <si>
    <t>William Carey University</t>
  </si>
  <si>
    <t>William Edge Institute</t>
  </si>
  <si>
    <t>William James College</t>
  </si>
  <si>
    <t>William Jessup University</t>
  </si>
  <si>
    <t>William Jewell College</t>
  </si>
  <si>
    <t>William Paterson University of New Jersey</t>
  </si>
  <si>
    <t>William Peace University</t>
  </si>
  <si>
    <t>William Penn University</t>
  </si>
  <si>
    <t>William R Moore College of Technology</t>
  </si>
  <si>
    <t>William Rainey Harper College</t>
  </si>
  <si>
    <t>William T McFatter Technical College</t>
  </si>
  <si>
    <t>William Woods University</t>
  </si>
  <si>
    <t>Williams Baptist University</t>
  </si>
  <si>
    <t>Williams College</t>
  </si>
  <si>
    <t>Williamsburg Technical College</t>
  </si>
  <si>
    <t>Williamson Christian College</t>
  </si>
  <si>
    <t>Williamson College of the Trades</t>
  </si>
  <si>
    <t>Williston State College</t>
  </si>
  <si>
    <t>Wilmington College</t>
  </si>
  <si>
    <t>Wilmington University</t>
  </si>
  <si>
    <t>Wilson College</t>
  </si>
  <si>
    <t>Wilson Community College</t>
  </si>
  <si>
    <t>Windward Community College</t>
  </si>
  <si>
    <t>Winebrenner Theological Seminary</t>
  </si>
  <si>
    <t>Wingate University</t>
  </si>
  <si>
    <t>Winona State University</t>
  </si>
  <si>
    <t>Winonah's International School of Cosmetology</t>
  </si>
  <si>
    <t>Winston Salem Barber School</t>
  </si>
  <si>
    <t>Winston-Salem State University</t>
  </si>
  <si>
    <t>Winthrop University</t>
  </si>
  <si>
    <t>Wiregrass Georgia Technical College</t>
  </si>
  <si>
    <t>Wisconsin Lutheran College</t>
  </si>
  <si>
    <t>Wisconsin School of Professional Psychology</t>
  </si>
  <si>
    <t>Withlacoochee Technical College</t>
  </si>
  <si>
    <t>Wittenberg University</t>
  </si>
  <si>
    <t>Wofford College</t>
  </si>
  <si>
    <t>Women's Institute of Torah Seminary and College</t>
  </si>
  <si>
    <t>Won Institute of Graduate Studies</t>
  </si>
  <si>
    <t>Wongu University of Oriental Medicine</t>
  </si>
  <si>
    <t>Wood County School of Practical Nursing</t>
  </si>
  <si>
    <t>Woodbury University</t>
  </si>
  <si>
    <t>Woodland Community College</t>
  </si>
  <si>
    <t>Woodruff Medical and Wellness Training</t>
  </si>
  <si>
    <t>Worcester Polytechnic Institute</t>
  </si>
  <si>
    <t>Worcester State University</t>
  </si>
  <si>
    <t>Word of Life Bible Institute</t>
  </si>
  <si>
    <t>World Class Academy of Beauty Careers</t>
  </si>
  <si>
    <t>World Mission University</t>
  </si>
  <si>
    <t>Worsham College of Mortuary Science</t>
  </si>
  <si>
    <t>Wor-Wic Community College</t>
  </si>
  <si>
    <t>Wright Graduate University for the Realization of Human Potential</t>
  </si>
  <si>
    <t>Wright State University-Lake Campus</t>
  </si>
  <si>
    <t>Wright State University-Main Campus</t>
  </si>
  <si>
    <t>WyoTech</t>
  </si>
  <si>
    <t>Wytheville Community College</t>
  </si>
  <si>
    <t>Xavier College School of Nursing</t>
  </si>
  <si>
    <t>Xavier University</t>
  </si>
  <si>
    <t>Xavier University of Louisiana</t>
  </si>
  <si>
    <t>Xenon International Academy-Omaha</t>
  </si>
  <si>
    <t>Xtylo Beauty College</t>
  </si>
  <si>
    <t>Yahweh Beauty Academy</t>
  </si>
  <si>
    <t>Yakima Valley College</t>
  </si>
  <si>
    <t>Yale University</t>
  </si>
  <si>
    <t>Yavapai College</t>
  </si>
  <si>
    <t>Yellowstone Christian College</t>
  </si>
  <si>
    <t>Yeshiva Bais Aharon</t>
  </si>
  <si>
    <t>Yeshiva Chemdas Hatorah</t>
  </si>
  <si>
    <t>Yeshiva College of the Nations Capital</t>
  </si>
  <si>
    <t>Yeshiva Derech Chaim</t>
  </si>
  <si>
    <t>Yeshiva D'monsey Rabbinical College</t>
  </si>
  <si>
    <t>Yeshiva Gedola Tiferes Yaakov Yitzchok</t>
  </si>
  <si>
    <t>Yeshiva Gedola Tiferes Yerachmiel</t>
  </si>
  <si>
    <t>Yeshiva Gedolah Imrei Yosef D'spinka</t>
  </si>
  <si>
    <t>Yeshiva Gedolah Keren Hatorah</t>
  </si>
  <si>
    <t>Yeshiva Gedolah Kesser Torah</t>
  </si>
  <si>
    <t>Yeshiva Gedolah of Cliffwood</t>
  </si>
  <si>
    <t>Yeshiva Gedolah of Greater Detroit</t>
  </si>
  <si>
    <t>Yeshiva Gedolah of Woodlake Village</t>
  </si>
  <si>
    <t>Yeshiva Gedolah Shaarei Shmuel</t>
  </si>
  <si>
    <t>Yeshiva Gedolah Tiferes Boruch</t>
  </si>
  <si>
    <t>Yeshiva Gedolah Zichron Leyma</t>
  </si>
  <si>
    <t>Yeshiva Karlin Stolin</t>
  </si>
  <si>
    <t>Yeshiva Kollel Tifereth Elizer</t>
  </si>
  <si>
    <t>Yeshiva of Far Rockaway Derech Ayson Rabbinical Seminary</t>
  </si>
  <si>
    <t>Yeshiva of Machzikai Hadas</t>
  </si>
  <si>
    <t>Yeshiva of Nitra Rabbinical College</t>
  </si>
  <si>
    <t>Yeshiva of Ocean</t>
  </si>
  <si>
    <t>Yeshiva of the Telshe Alumni</t>
  </si>
  <si>
    <t>Yeshiva Ohr Elchonon Chabad West Coast Talmudical Seminary</t>
  </si>
  <si>
    <t>Yeshiva Ohr Naftoli</t>
  </si>
  <si>
    <t>Yeshiva Ohr Yisrael</t>
  </si>
  <si>
    <t>Yeshiva Shaar Ephraim</t>
  </si>
  <si>
    <t>Yeshiva Shaar Hatorah</t>
  </si>
  <si>
    <t>Yeshiva Shaarei Torah of Rockland</t>
  </si>
  <si>
    <t>Yeshiva Sholom Shachna</t>
  </si>
  <si>
    <t>Yeshiva Toras Chaim</t>
  </si>
  <si>
    <t>Yeshiva University</t>
  </si>
  <si>
    <t>Yeshiva Yesoda Hatorah Vetz Chaim</t>
  </si>
  <si>
    <t>Yeshiva Yesodei Hatorah</t>
  </si>
  <si>
    <t>Yeshiva Zichron Aryeh</t>
  </si>
  <si>
    <t>Yeshivah Gedolah Rabbinical College</t>
  </si>
  <si>
    <t>Yeshivas Be'er Yitzchok</t>
  </si>
  <si>
    <t>Yeshivas Emek Hatorah</t>
  </si>
  <si>
    <t>Yeshivas Maharit D'Satmar</t>
  </si>
  <si>
    <t>Yeshivas Novominsk</t>
  </si>
  <si>
    <t>Yeshivat Hechal Shemuel</t>
  </si>
  <si>
    <t>Yeshivath Beth Moshe</t>
  </si>
  <si>
    <t>Yeshivath Viznitz</t>
  </si>
  <si>
    <t>Yeshivath Zichron Moshe</t>
  </si>
  <si>
    <t>Yo San University of Traditional Chinese Medicine</t>
  </si>
  <si>
    <t>York College</t>
  </si>
  <si>
    <t>York College of Pennsylvania</t>
  </si>
  <si>
    <t>York County Community College</t>
  </si>
  <si>
    <t>York County School of Technology-Adult &amp; Continuing Education</t>
  </si>
  <si>
    <t>York Technical College</t>
  </si>
  <si>
    <t>Yosemite Community College District Office</t>
  </si>
  <si>
    <t>Young Americans College of the Performing Arts</t>
  </si>
  <si>
    <t>Young Harris College</t>
  </si>
  <si>
    <t>Youngstown State University</t>
  </si>
  <si>
    <t>YTI Career Institute-Altoona</t>
  </si>
  <si>
    <t>YTI Career Institute-York</t>
  </si>
  <si>
    <t>Yuba College</t>
  </si>
  <si>
    <t>Yukon Beauty College Inc</t>
  </si>
  <si>
    <t>Z Hair Academy</t>
  </si>
  <si>
    <t>Zane State College</t>
  </si>
  <si>
    <t>Zaytuna College</t>
  </si>
  <si>
    <t>Zen Shiatsu Chicago</t>
  </si>
  <si>
    <t>Zion Massage College</t>
  </si>
  <si>
    <t>ZMS The Academy</t>
  </si>
  <si>
    <t>Zorganics Institute Beauty and Wellness</t>
  </si>
  <si>
    <t>NACE College (Choose from this dropdwon menu)</t>
  </si>
  <si>
    <t># Standard Emp FT</t>
  </si>
  <si>
    <t># Standard Emp 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</si>
</sst>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2"/>
      <color indexed="12"/>
      <name val="Calibri"/>
      <family val="2"/>
    </font>
    <font>
      <sz val="12"/>
      <name val="Calibri"/>
      <family val="2"/>
    </font>
    <font>
      <sz val="12"/>
      <color indexed="10"/>
      <name val="Calibri"/>
      <family val="2"/>
    </font>
    <font>
      <u/>
      <sz val="12"/>
      <color theme="1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b/>
      <sz val="12"/>
      <name val="Calibri"/>
      <family val="2"/>
      <scheme val="minor"/>
    </font>
    <font>
      <sz val="12"/>
      <color theme="10"/>
      <name val="Calibri"/>
      <family val="2"/>
      <scheme val="minor"/>
    </font>
    <font>
      <i/>
      <sz val="12"/>
      <color theme="1"/>
      <name val="Calibri"/>
      <family val="2"/>
      <scheme val="minor"/>
    </font>
    <font>
      <sz val="12"/>
      <color rgb="FFFF0000"/>
      <name val="Calibri"/>
      <family val="2"/>
      <scheme val="minor"/>
    </font>
    <font>
      <sz val="11"/>
      <color rgb="FF000000"/>
      <name val="Calibri"/>
      <family val="2"/>
    </font>
    <font>
      <b/>
      <sz val="10"/>
      <color rgb="FF00000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27">
    <xf numFmtId="0" fontId="0" fillId="0" borderId="0" xfId="0"/>
    <xf numFmtId="0" fontId="6" fillId="0" borderId="0" xfId="0" applyFont="1"/>
    <xf numFmtId="0" fontId="7" fillId="0" borderId="0" xfId="0" applyFont="1"/>
    <xf numFmtId="0" fontId="0" fillId="0" borderId="0" xfId="0" applyAlignment="1">
      <alignment horizontal="right"/>
    </xf>
    <xf numFmtId="0" fontId="8" fillId="0" borderId="0" xfId="0" applyFont="1" applyAlignment="1">
      <alignment horizontal="right"/>
    </xf>
    <xf numFmtId="0" fontId="8" fillId="0" borderId="0" xfId="0" applyFont="1" applyAlignment="1">
      <alignment horizontal="center"/>
    </xf>
    <xf numFmtId="10" fontId="0" fillId="0" borderId="0" xfId="0" applyNumberFormat="1" applyAlignment="1">
      <alignment horizontal="right"/>
    </xf>
    <xf numFmtId="0" fontId="9" fillId="0" borderId="0" xfId="0" applyFont="1" applyAlignment="1">
      <alignment horizontal="center" wrapText="1"/>
    </xf>
    <xf numFmtId="0" fontId="10" fillId="2" borderId="0" xfId="0" applyFont="1" applyFill="1" applyAlignment="1">
      <alignment horizontal="center" wrapText="1"/>
    </xf>
    <xf numFmtId="0" fontId="12" fillId="0" borderId="0" xfId="0" applyFont="1" applyAlignment="1">
      <alignment wrapText="1"/>
    </xf>
    <xf numFmtId="0" fontId="8" fillId="0" borderId="0" xfId="0" applyFont="1"/>
    <xf numFmtId="0" fontId="0" fillId="0" borderId="0" xfId="0" applyAlignment="1">
      <alignment horizontal="left" indent="1"/>
    </xf>
    <xf numFmtId="0" fontId="13" fillId="0" borderId="0" xfId="0" applyFont="1" applyAlignment="1">
      <alignment horizontal="left"/>
    </xf>
    <xf numFmtId="0" fontId="14" fillId="0" borderId="0" xfId="1" applyFont="1"/>
    <xf numFmtId="0" fontId="14" fillId="0" borderId="0" xfId="1" applyFont="1" applyAlignment="1"/>
    <xf numFmtId="0" fontId="15" fillId="0" borderId="0" xfId="0" applyFont="1"/>
    <xf numFmtId="0" fontId="5" fillId="0" borderId="0" xfId="1"/>
    <xf numFmtId="0" fontId="11" fillId="0" borderId="0" xfId="0" applyFont="1"/>
    <xf numFmtId="0" fontId="0" fillId="0" borderId="0" xfId="0" applyAlignment="1">
      <alignment horizontal="center"/>
    </xf>
    <xf numFmtId="0" fontId="17" fillId="0" borderId="0" xfId="0" applyFont="1"/>
    <xf numFmtId="0" fontId="18" fillId="3" borderId="0" xfId="0" applyFont="1" applyFill="1" applyAlignment="1">
      <alignment horizontal="left"/>
    </xf>
    <xf numFmtId="0" fontId="0" fillId="0" borderId="1" xfId="0" applyBorder="1"/>
    <xf numFmtId="0" fontId="0" fillId="0" borderId="1" xfId="0" applyBorder="1" applyAlignment="1">
      <alignment wrapText="1"/>
    </xf>
    <xf numFmtId="0" fontId="0" fillId="4" borderId="1" xfId="0" applyFill="1" applyBorder="1"/>
    <xf numFmtId="0" fontId="0" fillId="4" borderId="1" xfId="0" applyFill="1" applyBorder="1" applyAlignment="1">
      <alignment wrapText="1"/>
    </xf>
    <xf numFmtId="0" fontId="0" fillId="4" borderId="0" xfId="0" applyFill="1"/>
    <xf numFmtId="0" fontId="5" fillId="4" borderId="0" xfId="1" applyFill="1"/>
  </cellXfs>
  <cellStyles count="3">
    <cellStyle name="Hyperlink" xfId="1" builtinId="8"/>
    <cellStyle name="Normal" xfId="0" builtinId="0"/>
    <cellStyle name="Normal 2" xfId="2" xr:uid="{0E26EBB8-B0A8-4721-84DF-A94217F724DF}"/>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1035" name="Picture 1" descr="clip_image001.png">
          <a:extLst>
            <a:ext uri="{FF2B5EF4-FFF2-40B4-BE49-F238E27FC236}">
              <a16:creationId xmlns:a16="http://schemas.microsoft.com/office/drawing/2014/main" id="{F47F6191-CE9D-4BFB-9B15-FCEA81C35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219075" cy="200025"/>
    <xdr:pic>
      <xdr:nvPicPr>
        <xdr:cNvPr id="2" name="Picture 1" descr="clip_image001.png">
          <a:extLst>
            <a:ext uri="{FF2B5EF4-FFF2-40B4-BE49-F238E27FC236}">
              <a16:creationId xmlns:a16="http://schemas.microsoft.com/office/drawing/2014/main" id="{4B12475B-54E9-46C0-B802-CDED06D52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2059" name="Picture 1" descr="clip_image001.png">
          <a:extLst>
            <a:ext uri="{FF2B5EF4-FFF2-40B4-BE49-F238E27FC236}">
              <a16:creationId xmlns:a16="http://schemas.microsoft.com/office/drawing/2014/main" id="{135966BD-BA1E-4888-80A9-BA88ACDB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219075" cy="200025"/>
    <xdr:pic>
      <xdr:nvPicPr>
        <xdr:cNvPr id="2" name="Picture 1" descr="clip_image001.png">
          <a:extLst>
            <a:ext uri="{FF2B5EF4-FFF2-40B4-BE49-F238E27FC236}">
              <a16:creationId xmlns:a16="http://schemas.microsoft.com/office/drawing/2014/main" id="{55802E4D-1869-4EF3-88DB-20F660A91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3083" name="Picture 1" descr="clip_image001.png">
          <a:extLst>
            <a:ext uri="{FF2B5EF4-FFF2-40B4-BE49-F238E27FC236}">
              <a16:creationId xmlns:a16="http://schemas.microsoft.com/office/drawing/2014/main" id="{D6598E26-2E6B-431B-9CC5-50C2A8D0E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219075" cy="200025"/>
    <xdr:pic>
      <xdr:nvPicPr>
        <xdr:cNvPr id="2" name="Picture 1" descr="clip_image001.png">
          <a:extLst>
            <a:ext uri="{FF2B5EF4-FFF2-40B4-BE49-F238E27FC236}">
              <a16:creationId xmlns:a16="http://schemas.microsoft.com/office/drawing/2014/main" id="{EC62D87C-5A17-4602-A488-06A366FFE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4107" name="Picture 1" descr="clip_image001.png">
          <a:extLst>
            <a:ext uri="{FF2B5EF4-FFF2-40B4-BE49-F238E27FC236}">
              <a16:creationId xmlns:a16="http://schemas.microsoft.com/office/drawing/2014/main" id="{ED04092F-74A0-4578-B6D8-332B197A6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219075" cy="200025"/>
    <xdr:pic>
      <xdr:nvPicPr>
        <xdr:cNvPr id="2" name="Picture 1" descr="clip_image001.png">
          <a:extLst>
            <a:ext uri="{FF2B5EF4-FFF2-40B4-BE49-F238E27FC236}">
              <a16:creationId xmlns:a16="http://schemas.microsoft.com/office/drawing/2014/main" id="{65ED7B9A-5810-4BA2-8704-742F6002B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304800</xdr:rowOff>
    </xdr:to>
    <xdr:pic>
      <xdr:nvPicPr>
        <xdr:cNvPr id="5131" name="Picture 1" descr="clip_image001.png">
          <a:extLst>
            <a:ext uri="{FF2B5EF4-FFF2-40B4-BE49-F238E27FC236}">
              <a16:creationId xmlns:a16="http://schemas.microsoft.com/office/drawing/2014/main" id="{E7266AF5-697E-4953-876F-0CC883BC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219075" cy="200025"/>
    <xdr:pic>
      <xdr:nvPicPr>
        <xdr:cNvPr id="2" name="Picture 1" descr="clip_image001.png">
          <a:extLst>
            <a:ext uri="{FF2B5EF4-FFF2-40B4-BE49-F238E27FC236}">
              <a16:creationId xmlns:a16="http://schemas.microsoft.com/office/drawing/2014/main" id="{EB9F42F8-6058-459F-B779-185C4EA10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2</xdr:row>
      <xdr:rowOff>104775</xdr:rowOff>
    </xdr:to>
    <xdr:pic>
      <xdr:nvPicPr>
        <xdr:cNvPr id="6155" name="Picture 1" descr="clip_image001.png">
          <a:extLst>
            <a:ext uri="{FF2B5EF4-FFF2-40B4-BE49-F238E27FC236}">
              <a16:creationId xmlns:a16="http://schemas.microsoft.com/office/drawing/2014/main" id="{948487D8-C45F-4D70-802A-51BC1E814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219075" cy="200025"/>
    <xdr:pic>
      <xdr:nvPicPr>
        <xdr:cNvPr id="2" name="Picture 1" descr="clip_image001.png">
          <a:extLst>
            <a:ext uri="{FF2B5EF4-FFF2-40B4-BE49-F238E27FC236}">
              <a16:creationId xmlns:a16="http://schemas.microsoft.com/office/drawing/2014/main" id="{E912033A-772E-4CA5-8193-2DD29084E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4</xdr:row>
      <xdr:rowOff>152400</xdr:rowOff>
    </xdr:to>
    <xdr:pic>
      <xdr:nvPicPr>
        <xdr:cNvPr id="7189" name="Picture 1" descr="clip_image001.png">
          <a:extLst>
            <a:ext uri="{FF2B5EF4-FFF2-40B4-BE49-F238E27FC236}">
              <a16:creationId xmlns:a16="http://schemas.microsoft.com/office/drawing/2014/main" id="{CF22CE8B-1974-4A06-8A8C-5288EDE55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7190" name="Picture 1" descr="clip_image001.png">
          <a:extLst>
            <a:ext uri="{FF2B5EF4-FFF2-40B4-BE49-F238E27FC236}">
              <a16:creationId xmlns:a16="http://schemas.microsoft.com/office/drawing/2014/main" id="{3B24BE28-9FA6-488A-AA85-3DEF8D74D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219075" cy="200025"/>
    <xdr:pic>
      <xdr:nvPicPr>
        <xdr:cNvPr id="2" name="Picture 1" descr="clip_image001.png">
          <a:extLst>
            <a:ext uri="{FF2B5EF4-FFF2-40B4-BE49-F238E27FC236}">
              <a16:creationId xmlns:a16="http://schemas.microsoft.com/office/drawing/2014/main" id="{3B45648A-D508-4DFE-A9F4-B54E79204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7</xdr:row>
      <xdr:rowOff>114300</xdr:rowOff>
    </xdr:to>
    <xdr:pic>
      <xdr:nvPicPr>
        <xdr:cNvPr id="8223" name="Picture 3" descr="clip_image001.png">
          <a:extLst>
            <a:ext uri="{FF2B5EF4-FFF2-40B4-BE49-F238E27FC236}">
              <a16:creationId xmlns:a16="http://schemas.microsoft.com/office/drawing/2014/main" id="{BEA476BF-53EB-4F5E-B079-4382FEB92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4" name="Picture 1" descr="clip_image001.png">
          <a:extLst>
            <a:ext uri="{FF2B5EF4-FFF2-40B4-BE49-F238E27FC236}">
              <a16:creationId xmlns:a16="http://schemas.microsoft.com/office/drawing/2014/main" id="{31530044-5F2A-4C71-BD5E-CF2E8648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5" name="Picture 5" descr="clip_image001.png">
          <a:extLst>
            <a:ext uri="{FF2B5EF4-FFF2-40B4-BE49-F238E27FC236}">
              <a16:creationId xmlns:a16="http://schemas.microsoft.com/office/drawing/2014/main" id="{E14C7778-D1CE-42A7-8C08-9A8536100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219075" cy="200025"/>
    <xdr:pic>
      <xdr:nvPicPr>
        <xdr:cNvPr id="2" name="Picture 1" descr="clip_image001.png">
          <a:extLst>
            <a:ext uri="{FF2B5EF4-FFF2-40B4-BE49-F238E27FC236}">
              <a16:creationId xmlns:a16="http://schemas.microsoft.com/office/drawing/2014/main" id="{CC36E1F0-CB9D-414D-8422-8A45CB0CB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naceweb.org?subject=NACE%20First-Destination%20Template%20Question" TargetMode="External"/><Relationship Id="rId1" Type="http://schemas.openxmlformats.org/officeDocument/2006/relationships/hyperlink" Target="mailto:research@naceweb.org?subject=NACE%20First-Destination%20Survey:%20Data%20from%20%3cinsert%20your%20school%20name%3e"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election activeCell="A2" sqref="A2"/>
    </sheetView>
  </sheetViews>
  <sheetFormatPr defaultRowHeight="15.75" x14ac:dyDescent="0.25"/>
  <cols>
    <col min="1" max="1" width="74.25" bestFit="1" customWidth="1"/>
  </cols>
  <sheetData>
    <row r="1" spans="1:1" x14ac:dyDescent="0.25">
      <c r="A1" s="10" t="s">
        <v>2644</v>
      </c>
    </row>
    <row r="2" spans="1:1" x14ac:dyDescent="0.25">
      <c r="A2" s="18" t="s">
        <v>2645</v>
      </c>
    </row>
    <row r="3" spans="1:1" x14ac:dyDescent="0.25">
      <c r="A3" s="15" t="s">
        <v>79</v>
      </c>
    </row>
    <row r="5" spans="1:1" x14ac:dyDescent="0.25">
      <c r="A5" s="10" t="s">
        <v>74</v>
      </c>
    </row>
    <row r="6" spans="1:1" x14ac:dyDescent="0.25">
      <c r="A6" s="11" t="s">
        <v>70</v>
      </c>
    </row>
    <row r="7" spans="1:1" x14ac:dyDescent="0.25">
      <c r="A7" s="11" t="s">
        <v>1790</v>
      </c>
    </row>
    <row r="8" spans="1:1" x14ac:dyDescent="0.25">
      <c r="A8" s="11" t="s">
        <v>63</v>
      </c>
    </row>
    <row r="9" spans="1:1" x14ac:dyDescent="0.25">
      <c r="A9" s="11" t="s">
        <v>64</v>
      </c>
    </row>
    <row r="10" spans="1:1" x14ac:dyDescent="0.25">
      <c r="A10" s="11" t="s">
        <v>65</v>
      </c>
    </row>
    <row r="11" spans="1:1" x14ac:dyDescent="0.25">
      <c r="A11" s="11" t="s">
        <v>2643</v>
      </c>
    </row>
    <row r="12" spans="1:1" x14ac:dyDescent="0.25">
      <c r="A12" s="11" t="s">
        <v>67</v>
      </c>
    </row>
    <row r="13" spans="1:1" x14ac:dyDescent="0.25">
      <c r="A13" s="11" t="s">
        <v>66</v>
      </c>
    </row>
    <row r="14" spans="1:1" x14ac:dyDescent="0.25">
      <c r="A14" s="11" t="s">
        <v>68</v>
      </c>
    </row>
    <row r="15" spans="1:1" x14ac:dyDescent="0.25">
      <c r="A15" s="11" t="s">
        <v>69</v>
      </c>
    </row>
    <row r="17" spans="1:1" x14ac:dyDescent="0.25">
      <c r="A17" s="12" t="s">
        <v>2646</v>
      </c>
    </row>
    <row r="19" spans="1:1" x14ac:dyDescent="0.25">
      <c r="A19" s="10" t="s">
        <v>78</v>
      </c>
    </row>
    <row r="20" spans="1:1" x14ac:dyDescent="0.25">
      <c r="A20" s="13" t="s">
        <v>72</v>
      </c>
    </row>
    <row r="21" spans="1:1" x14ac:dyDescent="0.25">
      <c r="A21" t="s">
        <v>73</v>
      </c>
    </row>
    <row r="23" spans="1:1" x14ac:dyDescent="0.25">
      <c r="A23" s="10" t="s">
        <v>71</v>
      </c>
    </row>
    <row r="24" spans="1:1" x14ac:dyDescent="0.25">
      <c r="A24" t="s">
        <v>75</v>
      </c>
    </row>
    <row r="25" spans="1:1" x14ac:dyDescent="0.25">
      <c r="A25" s="14" t="s">
        <v>76</v>
      </c>
    </row>
    <row r="26" spans="1:1" x14ac:dyDescent="0.25">
      <c r="A26" t="s">
        <v>77</v>
      </c>
    </row>
  </sheetData>
  <hyperlinks>
    <hyperlink ref="A20" r:id="rId1" xr:uid="{00000000-0004-0000-0000-000000000000}"/>
    <hyperlink ref="A25"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7"/>
  <sheetViews>
    <sheetView workbookViewId="0">
      <selection activeCell="E2" sqref="E2:F2"/>
    </sheetView>
  </sheetViews>
  <sheetFormatPr defaultColWidth="11" defaultRowHeight="15.75" x14ac:dyDescent="0.25"/>
  <cols>
    <col min="1" max="1" width="35.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59</v>
      </c>
    </row>
    <row r="2" spans="1:31" s="7" customFormat="1" ht="51" x14ac:dyDescent="0.2">
      <c r="A2" s="8" t="s">
        <v>62</v>
      </c>
      <c r="B2" s="8" t="s">
        <v>30</v>
      </c>
      <c r="C2" s="8" t="s">
        <v>80</v>
      </c>
      <c r="D2" s="8" t="s">
        <v>29</v>
      </c>
      <c r="E2" s="8" t="s">
        <v>8823</v>
      </c>
      <c r="F2" s="8" t="s">
        <v>8824</v>
      </c>
      <c r="G2" s="8" t="s">
        <v>26</v>
      </c>
      <c r="H2" s="8" t="s">
        <v>27</v>
      </c>
      <c r="I2" s="8" t="s">
        <v>32</v>
      </c>
      <c r="J2" s="8" t="s">
        <v>33</v>
      </c>
      <c r="K2" s="8" t="s">
        <v>34</v>
      </c>
      <c r="L2" s="8" t="s">
        <v>35</v>
      </c>
      <c r="M2" s="8" t="s">
        <v>36</v>
      </c>
      <c r="N2" s="8" t="s">
        <v>37</v>
      </c>
      <c r="O2" s="8" t="s">
        <v>13</v>
      </c>
      <c r="P2" s="8" t="s">
        <v>38</v>
      </c>
      <c r="Q2" s="8" t="s">
        <v>39</v>
      </c>
      <c r="R2" s="8" t="s">
        <v>40</v>
      </c>
      <c r="S2" s="8" t="s">
        <v>41</v>
      </c>
      <c r="T2" s="8" t="s">
        <v>0</v>
      </c>
      <c r="U2" s="8" t="s">
        <v>1</v>
      </c>
      <c r="V2" s="8" t="s">
        <v>42</v>
      </c>
      <c r="W2" s="8" t="s">
        <v>2</v>
      </c>
      <c r="X2" s="8" t="s">
        <v>3</v>
      </c>
      <c r="Y2" s="8" t="s">
        <v>16</v>
      </c>
      <c r="Z2" s="8" t="s">
        <v>17</v>
      </c>
      <c r="AA2" s="8" t="s">
        <v>43</v>
      </c>
      <c r="AB2" s="8" t="s">
        <v>4</v>
      </c>
      <c r="AC2" s="8" t="s">
        <v>5</v>
      </c>
      <c r="AD2" s="8" t="s">
        <v>18</v>
      </c>
      <c r="AE2" s="8" t="s">
        <v>19</v>
      </c>
    </row>
    <row r="3" spans="1:31" ht="24.75" x14ac:dyDescent="0.25">
      <c r="A3" s="20" t="s">
        <v>8822</v>
      </c>
      <c r="B3" s="9" t="s">
        <v>31</v>
      </c>
      <c r="C3" s="9" t="s">
        <v>81</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3"/>
      <c r="R5" s="3"/>
      <c r="S5" s="3"/>
      <c r="T5" s="3"/>
      <c r="U5" s="3"/>
      <c r="V5" s="3"/>
    </row>
    <row r="6" spans="1:31" x14ac:dyDescent="0.25">
      <c r="B6" s="2"/>
      <c r="C6" s="2"/>
      <c r="D6" s="2"/>
      <c r="E6" s="3"/>
      <c r="F6" s="3"/>
      <c r="G6" s="3"/>
      <c r="H6" s="3"/>
      <c r="I6" s="3"/>
      <c r="J6" s="3"/>
      <c r="K6" s="3"/>
      <c r="L6" s="3"/>
      <c r="M6" s="3"/>
      <c r="N6" s="3"/>
      <c r="O6" s="3"/>
      <c r="P6" s="3"/>
      <c r="Q6" s="3"/>
      <c r="R6" s="3"/>
      <c r="S6" s="3"/>
      <c r="T6" s="3"/>
      <c r="U6" s="3"/>
      <c r="V6" s="3"/>
    </row>
    <row r="7" spans="1:31" x14ac:dyDescent="0.25">
      <c r="B7" s="2"/>
      <c r="C7" s="2"/>
      <c r="D7" s="2"/>
      <c r="Q7" s="3"/>
      <c r="R7" s="3"/>
      <c r="S7" s="3"/>
      <c r="T7" s="3"/>
      <c r="U7" s="3"/>
      <c r="V7" s="3"/>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450DB2F7-1420-4D64-9AEB-DA0F3DA88680}">
          <x14:formula1>
            <xm:f>'Higher Education Institutions'!$A:$A</xm:f>
          </x14:formula1>
          <xm:sqref>A3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7"/>
  <sheetViews>
    <sheetView workbookViewId="0">
      <selection activeCell="E2" sqref="E2:F2"/>
    </sheetView>
  </sheetViews>
  <sheetFormatPr defaultColWidth="11" defaultRowHeight="15.75" x14ac:dyDescent="0.25"/>
  <cols>
    <col min="1" max="1" width="34.7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60</v>
      </c>
    </row>
    <row r="2" spans="1:29" s="7" customFormat="1" ht="51" x14ac:dyDescent="0.2">
      <c r="A2" s="8" t="s">
        <v>62</v>
      </c>
      <c r="B2" s="8" t="s">
        <v>30</v>
      </c>
      <c r="C2" s="8" t="s">
        <v>80</v>
      </c>
      <c r="D2" s="8" t="s">
        <v>29</v>
      </c>
      <c r="E2" s="8" t="s">
        <v>8823</v>
      </c>
      <c r="F2" s="8" t="s">
        <v>8824</v>
      </c>
      <c r="G2" s="8" t="s">
        <v>52</v>
      </c>
      <c r="H2" s="8" t="s">
        <v>51</v>
      </c>
      <c r="I2" s="8" t="s">
        <v>26</v>
      </c>
      <c r="J2" s="8" t="s">
        <v>27</v>
      </c>
      <c r="K2" s="8" t="s">
        <v>32</v>
      </c>
      <c r="L2" s="8" t="s">
        <v>33</v>
      </c>
      <c r="M2" s="8" t="s">
        <v>34</v>
      </c>
      <c r="N2" s="8" t="s">
        <v>35</v>
      </c>
      <c r="O2" s="8" t="s">
        <v>36</v>
      </c>
      <c r="P2" s="8" t="s">
        <v>37</v>
      </c>
      <c r="Q2" s="8" t="s">
        <v>13</v>
      </c>
      <c r="R2" s="8" t="s">
        <v>38</v>
      </c>
      <c r="S2" s="8" t="s">
        <v>39</v>
      </c>
      <c r="T2" s="8" t="s">
        <v>40</v>
      </c>
      <c r="U2" s="8" t="s">
        <v>41</v>
      </c>
      <c r="V2" s="8" t="s">
        <v>0</v>
      </c>
      <c r="W2" s="8" t="s">
        <v>1</v>
      </c>
      <c r="X2" s="8" t="s">
        <v>42</v>
      </c>
      <c r="Y2" s="8" t="s">
        <v>2</v>
      </c>
      <c r="Z2" s="8" t="s">
        <v>3</v>
      </c>
      <c r="AA2" s="8" t="s">
        <v>43</v>
      </c>
      <c r="AB2" s="8" t="s">
        <v>4</v>
      </c>
      <c r="AC2" s="8" t="s">
        <v>5</v>
      </c>
    </row>
    <row r="3" spans="1:29" ht="24.75" x14ac:dyDescent="0.25">
      <c r="A3" s="20" t="s">
        <v>8822</v>
      </c>
      <c r="B3" s="9" t="s">
        <v>31</v>
      </c>
      <c r="C3" s="9" t="s">
        <v>81</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3"/>
      <c r="R5" s="3"/>
      <c r="S5" s="3"/>
      <c r="T5" s="3"/>
      <c r="U5" s="3"/>
      <c r="V5" s="3"/>
    </row>
    <row r="6" spans="1:29" x14ac:dyDescent="0.25">
      <c r="B6" s="2"/>
      <c r="C6" s="2"/>
      <c r="D6" s="2"/>
      <c r="E6" s="3"/>
      <c r="F6" s="3"/>
      <c r="G6" s="3"/>
      <c r="H6" s="3"/>
      <c r="I6" s="3"/>
      <c r="J6" s="3"/>
      <c r="K6" s="3"/>
      <c r="L6" s="3"/>
      <c r="M6" s="3"/>
      <c r="N6" s="3"/>
      <c r="O6" s="3"/>
      <c r="P6" s="3"/>
      <c r="Q6" s="3"/>
      <c r="R6" s="3"/>
      <c r="S6" s="3"/>
      <c r="T6" s="3"/>
      <c r="U6" s="3"/>
      <c r="V6" s="3"/>
    </row>
    <row r="7" spans="1:29" x14ac:dyDescent="0.25">
      <c r="B7" s="2"/>
      <c r="C7" s="2"/>
      <c r="D7" s="2"/>
      <c r="Q7" s="3"/>
      <c r="R7" s="3"/>
      <c r="S7" s="3"/>
      <c r="T7" s="3"/>
      <c r="U7" s="3"/>
      <c r="V7" s="3"/>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D5714D33-264C-4FEE-A542-D8FD6266F4EB}">
          <x14:formula1>
            <xm:f>'Higher Education Institutions'!$A:$A</xm:f>
          </x14:formula1>
          <xm:sqref>A3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
  <sheetViews>
    <sheetView zoomScaleNormal="100" workbookViewId="0">
      <selection activeCell="E2" sqref="E2:F2"/>
    </sheetView>
  </sheetViews>
  <sheetFormatPr defaultColWidth="11" defaultRowHeight="15.75" x14ac:dyDescent="0.25"/>
  <cols>
    <col min="1" max="1" width="35.75" customWidth="1"/>
    <col min="2" max="3" width="18.5" customWidth="1"/>
    <col min="4" max="4" width="10.5" customWidth="1"/>
    <col min="5" max="6" width="8.625" customWidth="1"/>
    <col min="7" max="8" width="10.125" customWidth="1"/>
    <col min="9" max="9" width="11.375" customWidth="1"/>
    <col min="10" max="10" width="11.875" customWidth="1"/>
    <col min="11" max="14" width="8.625" customWidth="1"/>
    <col min="15" max="16" width="9.5" customWidth="1"/>
    <col min="17" max="17" width="8.625" customWidth="1"/>
    <col min="18" max="18" width="9.375" customWidth="1"/>
    <col min="19" max="29" width="8.625" customWidth="1"/>
  </cols>
  <sheetData>
    <row r="1" spans="1:29" x14ac:dyDescent="0.25">
      <c r="A1" t="s">
        <v>61</v>
      </c>
    </row>
    <row r="2" spans="1:29" s="7" customFormat="1" ht="51" customHeight="1" x14ac:dyDescent="0.2">
      <c r="A2" s="8" t="s">
        <v>62</v>
      </c>
      <c r="B2" s="8" t="s">
        <v>30</v>
      </c>
      <c r="C2" s="8" t="s">
        <v>80</v>
      </c>
      <c r="D2" s="8" t="s">
        <v>29</v>
      </c>
      <c r="E2" s="8" t="s">
        <v>8823</v>
      </c>
      <c r="F2" s="8" t="s">
        <v>8824</v>
      </c>
      <c r="G2" s="8" t="s">
        <v>52</v>
      </c>
      <c r="H2" s="8" t="s">
        <v>51</v>
      </c>
      <c r="I2" s="8" t="s">
        <v>26</v>
      </c>
      <c r="J2" s="8" t="s">
        <v>27</v>
      </c>
      <c r="K2" s="8" t="s">
        <v>32</v>
      </c>
      <c r="L2" s="8" t="s">
        <v>33</v>
      </c>
      <c r="M2" s="8" t="s">
        <v>34</v>
      </c>
      <c r="N2" s="8" t="s">
        <v>35</v>
      </c>
      <c r="O2" s="8" t="s">
        <v>49</v>
      </c>
      <c r="P2" s="8" t="s">
        <v>50</v>
      </c>
      <c r="Q2" s="8" t="s">
        <v>13</v>
      </c>
      <c r="R2" s="8" t="s">
        <v>38</v>
      </c>
      <c r="S2" s="8" t="s">
        <v>39</v>
      </c>
      <c r="T2" s="8" t="s">
        <v>40</v>
      </c>
      <c r="U2" s="8" t="s">
        <v>41</v>
      </c>
      <c r="V2" s="8" t="s">
        <v>0</v>
      </c>
      <c r="W2" s="8" t="s">
        <v>1</v>
      </c>
      <c r="X2" s="8" t="s">
        <v>42</v>
      </c>
      <c r="Y2" s="8" t="s">
        <v>2</v>
      </c>
      <c r="Z2" s="8" t="s">
        <v>3</v>
      </c>
      <c r="AA2" s="8" t="s">
        <v>43</v>
      </c>
      <c r="AB2" s="8" t="s">
        <v>4</v>
      </c>
      <c r="AC2" s="8" t="s">
        <v>5</v>
      </c>
    </row>
    <row r="3" spans="1:29" ht="24.75" x14ac:dyDescent="0.25">
      <c r="A3" s="20" t="s">
        <v>8822</v>
      </c>
      <c r="B3" s="9" t="s">
        <v>31</v>
      </c>
      <c r="C3" s="9" t="s">
        <v>81</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3"/>
      <c r="R5" s="3"/>
      <c r="S5" s="3"/>
      <c r="T5" s="3"/>
      <c r="U5" s="3"/>
      <c r="V5" s="3"/>
    </row>
    <row r="6" spans="1:29" x14ac:dyDescent="0.25">
      <c r="B6" s="2"/>
      <c r="C6" s="2"/>
      <c r="D6" s="2"/>
      <c r="E6" s="3"/>
      <c r="F6" s="3"/>
      <c r="G6" s="3"/>
      <c r="H6" s="3"/>
      <c r="I6" s="3"/>
      <c r="J6" s="3"/>
      <c r="K6" s="3"/>
      <c r="L6" s="3"/>
      <c r="M6" s="3"/>
      <c r="N6" s="3"/>
      <c r="O6" s="3"/>
      <c r="P6" s="3"/>
      <c r="Q6" s="3"/>
      <c r="R6" s="3"/>
      <c r="S6" s="3"/>
      <c r="T6" s="3"/>
      <c r="U6" s="3"/>
      <c r="V6" s="3"/>
    </row>
    <row r="7" spans="1:29" x14ac:dyDescent="0.25">
      <c r="B7" s="2"/>
      <c r="C7" s="2"/>
      <c r="D7" s="2"/>
      <c r="Q7" s="3"/>
      <c r="R7" s="3"/>
      <c r="S7" s="3"/>
      <c r="T7" s="3"/>
      <c r="U7" s="3"/>
      <c r="V7" s="3"/>
    </row>
  </sheetData>
  <dataValidations count="1">
    <dataValidation allowBlank="1" showInputMessage="1" sqref="D8" xr:uid="{5BC9F6B6-41C0-4B8F-9A0B-F3159DBB51AC}"/>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884D4E95-828A-43A2-8EFD-F6CA4945975B}">
          <x14:formula1>
            <xm:f>'Higher Education Institutions'!$A:$A</xm:f>
          </x14:formula1>
          <xm:sqref>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1"/>
  <sheetViews>
    <sheetView workbookViewId="0">
      <selection activeCell="B7" sqref="B7"/>
    </sheetView>
  </sheetViews>
  <sheetFormatPr defaultColWidth="11" defaultRowHeight="15.75" x14ac:dyDescent="0.25"/>
  <cols>
    <col min="1" max="1" width="23" customWidth="1"/>
    <col min="2" max="2" width="106.375" customWidth="1"/>
  </cols>
  <sheetData>
    <row r="1" spans="1:4" s="5" customFormat="1" x14ac:dyDescent="0.25">
      <c r="A1" s="5" t="s">
        <v>9</v>
      </c>
      <c r="B1" s="5" t="s">
        <v>10</v>
      </c>
    </row>
    <row r="3" spans="1:4" ht="63" x14ac:dyDescent="0.25">
      <c r="A3" s="21" t="s">
        <v>82</v>
      </c>
      <c r="B3" s="22" t="s">
        <v>83</v>
      </c>
      <c r="D3" s="16"/>
    </row>
    <row r="4" spans="1:4" s="25" customFormat="1" x14ac:dyDescent="0.25">
      <c r="A4" s="23" t="s">
        <v>62</v>
      </c>
      <c r="B4" s="24" t="s">
        <v>2660</v>
      </c>
      <c r="D4" s="26"/>
    </row>
    <row r="5" spans="1:4" s="25" customFormat="1" x14ac:dyDescent="0.25">
      <c r="A5" s="23" t="s">
        <v>29</v>
      </c>
      <c r="B5" s="23" t="s">
        <v>44</v>
      </c>
    </row>
    <row r="6" spans="1:4" s="25" customFormat="1" ht="47.25" x14ac:dyDescent="0.25">
      <c r="A6" s="24" t="s">
        <v>8823</v>
      </c>
      <c r="B6" s="24" t="s">
        <v>2661</v>
      </c>
    </row>
    <row r="7" spans="1:4" s="25" customFormat="1" ht="47.25" x14ac:dyDescent="0.25">
      <c r="A7" s="24" t="s">
        <v>8824</v>
      </c>
      <c r="B7" s="24" t="s">
        <v>2662</v>
      </c>
    </row>
    <row r="8" spans="1:4" ht="31.5" x14ac:dyDescent="0.25">
      <c r="A8" s="21" t="s">
        <v>52</v>
      </c>
      <c r="B8" s="22" t="s">
        <v>2651</v>
      </c>
    </row>
    <row r="9" spans="1:4" ht="47.25" x14ac:dyDescent="0.25">
      <c r="A9" s="21" t="s">
        <v>51</v>
      </c>
      <c r="B9" s="22" t="s">
        <v>2652</v>
      </c>
    </row>
    <row r="10" spans="1:4" ht="31.5" x14ac:dyDescent="0.25">
      <c r="A10" s="21" t="s">
        <v>26</v>
      </c>
      <c r="B10" s="22" t="s">
        <v>2658</v>
      </c>
    </row>
    <row r="11" spans="1:4" ht="31.5" x14ac:dyDescent="0.25">
      <c r="A11" s="21" t="s">
        <v>27</v>
      </c>
      <c r="B11" s="22" t="s">
        <v>2659</v>
      </c>
    </row>
    <row r="12" spans="1:4" ht="47.25" x14ac:dyDescent="0.25">
      <c r="A12" s="21" t="s">
        <v>32</v>
      </c>
      <c r="B12" s="22" t="s">
        <v>46</v>
      </c>
    </row>
    <row r="13" spans="1:4" ht="47.25" x14ac:dyDescent="0.25">
      <c r="A13" s="21" t="s">
        <v>33</v>
      </c>
      <c r="B13" s="22" t="s">
        <v>45</v>
      </c>
    </row>
    <row r="14" spans="1:4" ht="31.5" x14ac:dyDescent="0.25">
      <c r="A14" s="21" t="s">
        <v>34</v>
      </c>
      <c r="B14" s="22" t="s">
        <v>47</v>
      </c>
    </row>
    <row r="15" spans="1:4" ht="31.5" x14ac:dyDescent="0.25">
      <c r="A15" s="21" t="s">
        <v>35</v>
      </c>
      <c r="B15" s="22" t="s">
        <v>48</v>
      </c>
    </row>
    <row r="16" spans="1:4" ht="31.5" x14ac:dyDescent="0.25">
      <c r="A16" s="22" t="s">
        <v>2653</v>
      </c>
      <c r="B16" s="22" t="s">
        <v>2656</v>
      </c>
    </row>
    <row r="17" spans="1:2" ht="31.5" x14ac:dyDescent="0.25">
      <c r="A17" s="22" t="s">
        <v>2654</v>
      </c>
      <c r="B17" s="22" t="s">
        <v>2655</v>
      </c>
    </row>
    <row r="18" spans="1:2" x14ac:dyDescent="0.25">
      <c r="A18" s="21" t="s">
        <v>28</v>
      </c>
      <c r="B18" s="21" t="s">
        <v>53</v>
      </c>
    </row>
    <row r="19" spans="1:2" x14ac:dyDescent="0.25">
      <c r="A19" s="21" t="s">
        <v>54</v>
      </c>
      <c r="B19" s="21" t="s">
        <v>14</v>
      </c>
    </row>
    <row r="20" spans="1:2" x14ac:dyDescent="0.25">
      <c r="A20" s="21" t="s">
        <v>39</v>
      </c>
      <c r="B20" s="21" t="s">
        <v>55</v>
      </c>
    </row>
    <row r="21" spans="1:2" ht="31.5" x14ac:dyDescent="0.25">
      <c r="A21" s="21" t="s">
        <v>40</v>
      </c>
      <c r="B21" s="22" t="s">
        <v>56</v>
      </c>
    </row>
    <row r="22" spans="1:2" ht="31.5" x14ac:dyDescent="0.25">
      <c r="A22" s="22" t="s">
        <v>41</v>
      </c>
      <c r="B22" s="22" t="s">
        <v>57</v>
      </c>
    </row>
    <row r="23" spans="1:2" x14ac:dyDescent="0.25">
      <c r="A23" s="21" t="s">
        <v>11</v>
      </c>
      <c r="B23" s="21" t="s">
        <v>12</v>
      </c>
    </row>
    <row r="24" spans="1:2" x14ac:dyDescent="0.25">
      <c r="A24" s="21" t="s">
        <v>1</v>
      </c>
      <c r="B24" s="21" t="s">
        <v>15</v>
      </c>
    </row>
    <row r="25" spans="1:2" x14ac:dyDescent="0.25">
      <c r="A25" s="21" t="s">
        <v>6</v>
      </c>
      <c r="B25" s="21" t="s">
        <v>20</v>
      </c>
    </row>
    <row r="26" spans="1:2" x14ac:dyDescent="0.25">
      <c r="A26" s="21" t="s">
        <v>7</v>
      </c>
      <c r="B26" s="21" t="s">
        <v>21</v>
      </c>
    </row>
    <row r="27" spans="1:2" x14ac:dyDescent="0.25">
      <c r="A27" s="21" t="s">
        <v>2</v>
      </c>
      <c r="B27" s="21" t="s">
        <v>22</v>
      </c>
    </row>
    <row r="28" spans="1:2" x14ac:dyDescent="0.25">
      <c r="A28" s="21" t="s">
        <v>3</v>
      </c>
      <c r="B28" s="21" t="s">
        <v>23</v>
      </c>
    </row>
    <row r="29" spans="1:2" x14ac:dyDescent="0.25">
      <c r="A29" s="21" t="s">
        <v>8</v>
      </c>
      <c r="B29" s="21" t="s">
        <v>2657</v>
      </c>
    </row>
    <row r="30" spans="1:2" x14ac:dyDescent="0.25">
      <c r="A30" s="21" t="s">
        <v>4</v>
      </c>
      <c r="B30" s="21" t="s">
        <v>24</v>
      </c>
    </row>
    <row r="31" spans="1:2" x14ac:dyDescent="0.25">
      <c r="A31" s="21" t="s">
        <v>5</v>
      </c>
      <c r="B31" s="21" t="s">
        <v>25</v>
      </c>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AA3-DB75-4A1D-A460-350C49A374F3}">
  <dimension ref="A1:C2849"/>
  <sheetViews>
    <sheetView workbookViewId="0"/>
  </sheetViews>
  <sheetFormatPr defaultRowHeight="15.75" x14ac:dyDescent="0.25"/>
  <cols>
    <col min="1" max="1" width="13.5" customWidth="1"/>
    <col min="2" max="2" width="14.75" customWidth="1"/>
    <col min="3" max="3" width="102.625" bestFit="1" customWidth="1"/>
  </cols>
  <sheetData>
    <row r="1" spans="1:3" x14ac:dyDescent="0.25">
      <c r="A1" t="s">
        <v>84</v>
      </c>
      <c r="B1" t="s">
        <v>85</v>
      </c>
      <c r="C1" t="s">
        <v>86</v>
      </c>
    </row>
    <row r="2" spans="1:3" x14ac:dyDescent="0.25">
      <c r="A2" t="str">
        <f>"01"</f>
        <v>01</v>
      </c>
      <c r="B2" t="str">
        <f>"01"</f>
        <v>01</v>
      </c>
      <c r="C2" t="s">
        <v>1792</v>
      </c>
    </row>
    <row r="3" spans="1:3" x14ac:dyDescent="0.25">
      <c r="A3" t="str">
        <f t="shared" ref="A3:A66" si="0">"01"</f>
        <v>01</v>
      </c>
      <c r="B3" t="str">
        <f>"01.00"</f>
        <v>01.00</v>
      </c>
      <c r="C3" t="s">
        <v>87</v>
      </c>
    </row>
    <row r="4" spans="1:3" x14ac:dyDescent="0.25">
      <c r="A4" t="str">
        <f t="shared" si="0"/>
        <v>01</v>
      </c>
      <c r="B4" t="str">
        <f>"01.0000"</f>
        <v>01.0000</v>
      </c>
      <c r="C4" t="s">
        <v>87</v>
      </c>
    </row>
    <row r="5" spans="1:3" x14ac:dyDescent="0.25">
      <c r="A5" t="str">
        <f t="shared" si="0"/>
        <v>01</v>
      </c>
      <c r="B5" t="str">
        <f>"01.01"</f>
        <v>01.01</v>
      </c>
      <c r="C5" t="s">
        <v>88</v>
      </c>
    </row>
    <row r="6" spans="1:3" x14ac:dyDescent="0.25">
      <c r="A6" t="str">
        <f t="shared" si="0"/>
        <v>01</v>
      </c>
      <c r="B6" t="str">
        <f>"01.0101"</f>
        <v>01.0101</v>
      </c>
      <c r="C6" t="s">
        <v>89</v>
      </c>
    </row>
    <row r="7" spans="1:3" x14ac:dyDescent="0.25">
      <c r="A7" t="str">
        <f t="shared" si="0"/>
        <v>01</v>
      </c>
      <c r="B7" t="str">
        <f>"01.0102"</f>
        <v>01.0102</v>
      </c>
      <c r="C7" t="s">
        <v>90</v>
      </c>
    </row>
    <row r="8" spans="1:3" x14ac:dyDescent="0.25">
      <c r="A8" t="str">
        <f t="shared" si="0"/>
        <v>01</v>
      </c>
      <c r="B8" t="str">
        <f>"01.0103"</f>
        <v>01.0103</v>
      </c>
      <c r="C8" t="s">
        <v>91</v>
      </c>
    </row>
    <row r="9" spans="1:3" x14ac:dyDescent="0.25">
      <c r="A9" t="str">
        <f t="shared" si="0"/>
        <v>01</v>
      </c>
      <c r="B9" t="str">
        <f>"01.0104"</f>
        <v>01.0104</v>
      </c>
      <c r="C9" t="s">
        <v>92</v>
      </c>
    </row>
    <row r="10" spans="1:3" x14ac:dyDescent="0.25">
      <c r="A10" t="str">
        <f t="shared" si="0"/>
        <v>01</v>
      </c>
      <c r="B10" t="str">
        <f>"01.0105"</f>
        <v>01.0105</v>
      </c>
      <c r="C10" t="s">
        <v>93</v>
      </c>
    </row>
    <row r="11" spans="1:3" x14ac:dyDescent="0.25">
      <c r="A11" t="str">
        <f t="shared" si="0"/>
        <v>01</v>
      </c>
      <c r="B11" t="str">
        <f>"01.0106"</f>
        <v>01.0106</v>
      </c>
      <c r="C11" t="s">
        <v>1793</v>
      </c>
    </row>
    <row r="12" spans="1:3" x14ac:dyDescent="0.25">
      <c r="A12" t="str">
        <f t="shared" si="0"/>
        <v>01</v>
      </c>
      <c r="B12" t="str">
        <f>"01.0199"</f>
        <v>01.0199</v>
      </c>
      <c r="C12" t="s">
        <v>94</v>
      </c>
    </row>
    <row r="13" spans="1:3" x14ac:dyDescent="0.25">
      <c r="A13" t="str">
        <f t="shared" si="0"/>
        <v>01</v>
      </c>
      <c r="B13" t="str">
        <f>"01.02"</f>
        <v>01.02</v>
      </c>
      <c r="C13" t="s">
        <v>95</v>
      </c>
    </row>
    <row r="14" spans="1:3" x14ac:dyDescent="0.25">
      <c r="A14" t="str">
        <f t="shared" si="0"/>
        <v>01</v>
      </c>
      <c r="B14" t="str">
        <f>"01.0201"</f>
        <v>01.0201</v>
      </c>
      <c r="C14" t="s">
        <v>96</v>
      </c>
    </row>
    <row r="15" spans="1:3" x14ac:dyDescent="0.25">
      <c r="A15" t="str">
        <f t="shared" si="0"/>
        <v>01</v>
      </c>
      <c r="B15" t="str">
        <f>"01.0204"</f>
        <v>01.0204</v>
      </c>
      <c r="C15" t="s">
        <v>97</v>
      </c>
    </row>
    <row r="16" spans="1:3" x14ac:dyDescent="0.25">
      <c r="A16" t="str">
        <f t="shared" si="0"/>
        <v>01</v>
      </c>
      <c r="B16" t="str">
        <f>"01.0205"</f>
        <v>01.0205</v>
      </c>
      <c r="C16" t="s">
        <v>1794</v>
      </c>
    </row>
    <row r="17" spans="1:3" x14ac:dyDescent="0.25">
      <c r="A17" t="str">
        <f t="shared" si="0"/>
        <v>01</v>
      </c>
      <c r="B17" t="str">
        <f>"01.0207"</f>
        <v>01.0207</v>
      </c>
      <c r="C17" t="s">
        <v>1795</v>
      </c>
    </row>
    <row r="18" spans="1:3" x14ac:dyDescent="0.25">
      <c r="A18" t="str">
        <f t="shared" si="0"/>
        <v>01</v>
      </c>
      <c r="B18" t="str">
        <f>"01.0299"</f>
        <v>01.0299</v>
      </c>
      <c r="C18" t="s">
        <v>98</v>
      </c>
    </row>
    <row r="19" spans="1:3" x14ac:dyDescent="0.25">
      <c r="A19" t="str">
        <f t="shared" si="0"/>
        <v>01</v>
      </c>
      <c r="B19" t="str">
        <f>"01.03"</f>
        <v>01.03</v>
      </c>
      <c r="C19" t="s">
        <v>99</v>
      </c>
    </row>
    <row r="20" spans="1:3" x14ac:dyDescent="0.25">
      <c r="A20" t="str">
        <f t="shared" si="0"/>
        <v>01</v>
      </c>
      <c r="B20" t="str">
        <f>"01.0301"</f>
        <v>01.0301</v>
      </c>
      <c r="C20" t="s">
        <v>100</v>
      </c>
    </row>
    <row r="21" spans="1:3" x14ac:dyDescent="0.25">
      <c r="A21" t="str">
        <f t="shared" si="0"/>
        <v>01</v>
      </c>
      <c r="B21" t="str">
        <f>"01.0302"</f>
        <v>01.0302</v>
      </c>
      <c r="C21" t="s">
        <v>101</v>
      </c>
    </row>
    <row r="22" spans="1:3" x14ac:dyDescent="0.25">
      <c r="A22" t="str">
        <f t="shared" si="0"/>
        <v>01</v>
      </c>
      <c r="B22" t="str">
        <f>"01.0303"</f>
        <v>01.0303</v>
      </c>
      <c r="C22" t="s">
        <v>102</v>
      </c>
    </row>
    <row r="23" spans="1:3" x14ac:dyDescent="0.25">
      <c r="A23" t="str">
        <f t="shared" si="0"/>
        <v>01</v>
      </c>
      <c r="B23" t="str">
        <f>"01.0304"</f>
        <v>01.0304</v>
      </c>
      <c r="C23" t="s">
        <v>103</v>
      </c>
    </row>
    <row r="24" spans="1:3" x14ac:dyDescent="0.25">
      <c r="A24" t="str">
        <f t="shared" si="0"/>
        <v>01</v>
      </c>
      <c r="B24" t="str">
        <f>"01.0306"</f>
        <v>01.0306</v>
      </c>
      <c r="C24" t="s">
        <v>104</v>
      </c>
    </row>
    <row r="25" spans="1:3" x14ac:dyDescent="0.25">
      <c r="A25" t="str">
        <f t="shared" si="0"/>
        <v>01</v>
      </c>
      <c r="B25" t="str">
        <f>"01.0307"</f>
        <v>01.0307</v>
      </c>
      <c r="C25" t="s">
        <v>105</v>
      </c>
    </row>
    <row r="26" spans="1:3" x14ac:dyDescent="0.25">
      <c r="A26" t="str">
        <f t="shared" si="0"/>
        <v>01</v>
      </c>
      <c r="B26" t="str">
        <f>"01.0308"</f>
        <v>01.0308</v>
      </c>
      <c r="C26" t="s">
        <v>106</v>
      </c>
    </row>
    <row r="27" spans="1:3" x14ac:dyDescent="0.25">
      <c r="A27" t="str">
        <f t="shared" si="0"/>
        <v>01</v>
      </c>
      <c r="B27" t="str">
        <f>"01.0309"</f>
        <v>01.0309</v>
      </c>
      <c r="C27" t="s">
        <v>107</v>
      </c>
    </row>
    <row r="28" spans="1:3" x14ac:dyDescent="0.25">
      <c r="A28" t="str">
        <f t="shared" si="0"/>
        <v>01</v>
      </c>
      <c r="B28" t="str">
        <f>"01.0310"</f>
        <v>01.0310</v>
      </c>
      <c r="C28" t="s">
        <v>1796</v>
      </c>
    </row>
    <row r="29" spans="1:3" x14ac:dyDescent="0.25">
      <c r="A29" t="str">
        <f t="shared" si="0"/>
        <v>01</v>
      </c>
      <c r="B29" t="str">
        <f>"01.0399"</f>
        <v>01.0399</v>
      </c>
      <c r="C29" t="s">
        <v>108</v>
      </c>
    </row>
    <row r="30" spans="1:3" x14ac:dyDescent="0.25">
      <c r="A30" t="str">
        <f t="shared" si="0"/>
        <v>01</v>
      </c>
      <c r="B30" t="str">
        <f>"01.04"</f>
        <v>01.04</v>
      </c>
      <c r="C30" t="s">
        <v>109</v>
      </c>
    </row>
    <row r="31" spans="1:3" x14ac:dyDescent="0.25">
      <c r="A31" t="str">
        <f t="shared" si="0"/>
        <v>01</v>
      </c>
      <c r="B31" t="str">
        <f>"01.0401"</f>
        <v>01.0401</v>
      </c>
      <c r="C31" t="s">
        <v>109</v>
      </c>
    </row>
    <row r="32" spans="1:3" x14ac:dyDescent="0.25">
      <c r="A32" t="str">
        <f t="shared" si="0"/>
        <v>01</v>
      </c>
      <c r="B32" t="str">
        <f>"01.0480"</f>
        <v>01.0480</v>
      </c>
      <c r="C32" t="s">
        <v>1797</v>
      </c>
    </row>
    <row r="33" spans="1:3" x14ac:dyDescent="0.25">
      <c r="A33" t="str">
        <f t="shared" si="0"/>
        <v>01</v>
      </c>
      <c r="B33" t="str">
        <f>"01.05"</f>
        <v>01.05</v>
      </c>
      <c r="C33" t="s">
        <v>110</v>
      </c>
    </row>
    <row r="34" spans="1:3" x14ac:dyDescent="0.25">
      <c r="A34" t="str">
        <f t="shared" si="0"/>
        <v>01</v>
      </c>
      <c r="B34" t="str">
        <f>"01.0504"</f>
        <v>01.0504</v>
      </c>
      <c r="C34" t="s">
        <v>111</v>
      </c>
    </row>
    <row r="35" spans="1:3" x14ac:dyDescent="0.25">
      <c r="A35" t="str">
        <f t="shared" si="0"/>
        <v>01</v>
      </c>
      <c r="B35" t="str">
        <f>"01.0505"</f>
        <v>01.0505</v>
      </c>
      <c r="C35" t="s">
        <v>112</v>
      </c>
    </row>
    <row r="36" spans="1:3" x14ac:dyDescent="0.25">
      <c r="A36" t="str">
        <f t="shared" si="0"/>
        <v>01</v>
      </c>
      <c r="B36" t="str">
        <f>"01.0507"</f>
        <v>01.0507</v>
      </c>
      <c r="C36" t="s">
        <v>113</v>
      </c>
    </row>
    <row r="37" spans="1:3" x14ac:dyDescent="0.25">
      <c r="A37" t="str">
        <f t="shared" si="0"/>
        <v>01</v>
      </c>
      <c r="B37" t="str">
        <f>"01.0508"</f>
        <v>01.0508</v>
      </c>
      <c r="C37" t="s">
        <v>114</v>
      </c>
    </row>
    <row r="38" spans="1:3" x14ac:dyDescent="0.25">
      <c r="A38" t="str">
        <f t="shared" si="0"/>
        <v>01</v>
      </c>
      <c r="B38" t="str">
        <f>"01.0509"</f>
        <v>01.0509</v>
      </c>
      <c r="C38" t="s">
        <v>1798</v>
      </c>
    </row>
    <row r="39" spans="1:3" x14ac:dyDescent="0.25">
      <c r="A39" t="str">
        <f t="shared" si="0"/>
        <v>01</v>
      </c>
      <c r="B39" t="str">
        <f>"01.0599"</f>
        <v>01.0599</v>
      </c>
      <c r="C39" t="s">
        <v>115</v>
      </c>
    </row>
    <row r="40" spans="1:3" x14ac:dyDescent="0.25">
      <c r="A40" t="str">
        <f t="shared" si="0"/>
        <v>01</v>
      </c>
      <c r="B40" t="str">
        <f>"01.06"</f>
        <v>01.06</v>
      </c>
      <c r="C40" t="s">
        <v>116</v>
      </c>
    </row>
    <row r="41" spans="1:3" x14ac:dyDescent="0.25">
      <c r="A41" t="str">
        <f t="shared" si="0"/>
        <v>01</v>
      </c>
      <c r="B41" t="str">
        <f>"01.0601"</f>
        <v>01.0601</v>
      </c>
      <c r="C41" t="s">
        <v>117</v>
      </c>
    </row>
    <row r="42" spans="1:3" x14ac:dyDescent="0.25">
      <c r="A42" t="str">
        <f t="shared" si="0"/>
        <v>01</v>
      </c>
      <c r="B42" t="str">
        <f>"01.0603"</f>
        <v>01.0603</v>
      </c>
      <c r="C42" t="s">
        <v>118</v>
      </c>
    </row>
    <row r="43" spans="1:3" x14ac:dyDescent="0.25">
      <c r="A43" t="str">
        <f t="shared" si="0"/>
        <v>01</v>
      </c>
      <c r="B43" t="str">
        <f>"01.0604"</f>
        <v>01.0604</v>
      </c>
      <c r="C43" t="s">
        <v>119</v>
      </c>
    </row>
    <row r="44" spans="1:3" x14ac:dyDescent="0.25">
      <c r="A44" t="str">
        <f t="shared" si="0"/>
        <v>01</v>
      </c>
      <c r="B44" t="str">
        <f>"01.0605"</f>
        <v>01.0605</v>
      </c>
      <c r="C44" t="s">
        <v>120</v>
      </c>
    </row>
    <row r="45" spans="1:3" x14ac:dyDescent="0.25">
      <c r="A45" t="str">
        <f t="shared" si="0"/>
        <v>01</v>
      </c>
      <c r="B45" t="str">
        <f>"01.0606"</f>
        <v>01.0606</v>
      </c>
      <c r="C45" t="s">
        <v>121</v>
      </c>
    </row>
    <row r="46" spans="1:3" x14ac:dyDescent="0.25">
      <c r="A46" t="str">
        <f t="shared" si="0"/>
        <v>01</v>
      </c>
      <c r="B46" t="str">
        <f>"01.0607"</f>
        <v>01.0607</v>
      </c>
      <c r="C46" t="s">
        <v>122</v>
      </c>
    </row>
    <row r="47" spans="1:3" x14ac:dyDescent="0.25">
      <c r="A47" t="str">
        <f t="shared" si="0"/>
        <v>01</v>
      </c>
      <c r="B47" t="str">
        <f>"01.0608"</f>
        <v>01.0608</v>
      </c>
      <c r="C47" t="s">
        <v>123</v>
      </c>
    </row>
    <row r="48" spans="1:3" x14ac:dyDescent="0.25">
      <c r="A48" t="str">
        <f t="shared" si="0"/>
        <v>01</v>
      </c>
      <c r="B48" t="str">
        <f>"01.0609"</f>
        <v>01.0609</v>
      </c>
      <c r="C48" t="s">
        <v>1799</v>
      </c>
    </row>
    <row r="49" spans="1:3" x14ac:dyDescent="0.25">
      <c r="A49" t="str">
        <f t="shared" si="0"/>
        <v>01</v>
      </c>
      <c r="B49" t="str">
        <f>"01.0610"</f>
        <v>01.0610</v>
      </c>
      <c r="C49" t="s">
        <v>1800</v>
      </c>
    </row>
    <row r="50" spans="1:3" x14ac:dyDescent="0.25">
      <c r="A50" t="str">
        <f t="shared" si="0"/>
        <v>01</v>
      </c>
      <c r="B50" t="str">
        <f>"01.0680"</f>
        <v>01.0680</v>
      </c>
      <c r="C50" t="s">
        <v>1797</v>
      </c>
    </row>
    <row r="51" spans="1:3" x14ac:dyDescent="0.25">
      <c r="A51" t="str">
        <f t="shared" si="0"/>
        <v>01</v>
      </c>
      <c r="B51" t="str">
        <f>"01.0699"</f>
        <v>01.0699</v>
      </c>
      <c r="C51" t="s">
        <v>124</v>
      </c>
    </row>
    <row r="52" spans="1:3" x14ac:dyDescent="0.25">
      <c r="A52" t="str">
        <f t="shared" si="0"/>
        <v>01</v>
      </c>
      <c r="B52" t="str">
        <f>"01.07"</f>
        <v>01.07</v>
      </c>
      <c r="C52" t="s">
        <v>125</v>
      </c>
    </row>
    <row r="53" spans="1:3" x14ac:dyDescent="0.25">
      <c r="A53" t="str">
        <f t="shared" si="0"/>
        <v>01</v>
      </c>
      <c r="B53" t="str">
        <f>"01.0701"</f>
        <v>01.0701</v>
      </c>
      <c r="C53" t="s">
        <v>125</v>
      </c>
    </row>
    <row r="54" spans="1:3" x14ac:dyDescent="0.25">
      <c r="A54" t="str">
        <f t="shared" si="0"/>
        <v>01</v>
      </c>
      <c r="B54" t="str">
        <f>"01.08"</f>
        <v>01.08</v>
      </c>
      <c r="C54" t="s">
        <v>126</v>
      </c>
    </row>
    <row r="55" spans="1:3" x14ac:dyDescent="0.25">
      <c r="A55" t="str">
        <f t="shared" si="0"/>
        <v>01</v>
      </c>
      <c r="B55" t="str">
        <f>"01.0801"</f>
        <v>01.0801</v>
      </c>
      <c r="C55" t="s">
        <v>127</v>
      </c>
    </row>
    <row r="56" spans="1:3" x14ac:dyDescent="0.25">
      <c r="A56" t="str">
        <f t="shared" si="0"/>
        <v>01</v>
      </c>
      <c r="B56" t="str">
        <f>"01.0802"</f>
        <v>01.0802</v>
      </c>
      <c r="C56" t="s">
        <v>128</v>
      </c>
    </row>
    <row r="57" spans="1:3" x14ac:dyDescent="0.25">
      <c r="A57" t="str">
        <f t="shared" si="0"/>
        <v>01</v>
      </c>
      <c r="B57" t="str">
        <f>"01.0899"</f>
        <v>01.0899</v>
      </c>
      <c r="C57" t="s">
        <v>129</v>
      </c>
    </row>
    <row r="58" spans="1:3" x14ac:dyDescent="0.25">
      <c r="A58" t="str">
        <f t="shared" si="0"/>
        <v>01</v>
      </c>
      <c r="B58" t="str">
        <f>"01.09"</f>
        <v>01.09</v>
      </c>
      <c r="C58" t="s">
        <v>130</v>
      </c>
    </row>
    <row r="59" spans="1:3" x14ac:dyDescent="0.25">
      <c r="A59" t="str">
        <f t="shared" si="0"/>
        <v>01</v>
      </c>
      <c r="B59" t="str">
        <f>"01.0901"</f>
        <v>01.0901</v>
      </c>
      <c r="C59" t="s">
        <v>131</v>
      </c>
    </row>
    <row r="60" spans="1:3" x14ac:dyDescent="0.25">
      <c r="A60" t="str">
        <f t="shared" si="0"/>
        <v>01</v>
      </c>
      <c r="B60" t="str">
        <f>"01.0902"</f>
        <v>01.0902</v>
      </c>
      <c r="C60" t="s">
        <v>132</v>
      </c>
    </row>
    <row r="61" spans="1:3" x14ac:dyDescent="0.25">
      <c r="A61" t="str">
        <f t="shared" si="0"/>
        <v>01</v>
      </c>
      <c r="B61" t="str">
        <f>"01.0903"</f>
        <v>01.0903</v>
      </c>
      <c r="C61" t="s">
        <v>133</v>
      </c>
    </row>
    <row r="62" spans="1:3" x14ac:dyDescent="0.25">
      <c r="A62" t="str">
        <f t="shared" si="0"/>
        <v>01</v>
      </c>
      <c r="B62" t="str">
        <f>"01.0904"</f>
        <v>01.0904</v>
      </c>
      <c r="C62" t="s">
        <v>134</v>
      </c>
    </row>
    <row r="63" spans="1:3" x14ac:dyDescent="0.25">
      <c r="A63" t="str">
        <f t="shared" si="0"/>
        <v>01</v>
      </c>
      <c r="B63" t="str">
        <f>"01.0905"</f>
        <v>01.0905</v>
      </c>
      <c r="C63" t="s">
        <v>135</v>
      </c>
    </row>
    <row r="64" spans="1:3" x14ac:dyDescent="0.25">
      <c r="A64" t="str">
        <f t="shared" si="0"/>
        <v>01</v>
      </c>
      <c r="B64" t="str">
        <f>"01.0906"</f>
        <v>01.0906</v>
      </c>
      <c r="C64" t="s">
        <v>136</v>
      </c>
    </row>
    <row r="65" spans="1:3" x14ac:dyDescent="0.25">
      <c r="A65" t="str">
        <f t="shared" si="0"/>
        <v>01</v>
      </c>
      <c r="B65" t="str">
        <f>"01.0907"</f>
        <v>01.0907</v>
      </c>
      <c r="C65" t="s">
        <v>137</v>
      </c>
    </row>
    <row r="66" spans="1:3" x14ac:dyDescent="0.25">
      <c r="A66" t="str">
        <f t="shared" si="0"/>
        <v>01</v>
      </c>
      <c r="B66" t="str">
        <f>"01.0999"</f>
        <v>01.0999</v>
      </c>
      <c r="C66" t="s">
        <v>138</v>
      </c>
    </row>
    <row r="67" spans="1:3" x14ac:dyDescent="0.25">
      <c r="A67" t="str">
        <f t="shared" ref="A67:A116" si="1">"01"</f>
        <v>01</v>
      </c>
      <c r="B67" t="str">
        <f>"01.10"</f>
        <v>01.10</v>
      </c>
      <c r="C67" t="s">
        <v>139</v>
      </c>
    </row>
    <row r="68" spans="1:3" x14ac:dyDescent="0.25">
      <c r="A68" t="str">
        <f t="shared" si="1"/>
        <v>01</v>
      </c>
      <c r="B68" t="str">
        <f>"01.1001"</f>
        <v>01.1001</v>
      </c>
      <c r="C68" t="s">
        <v>140</v>
      </c>
    </row>
    <row r="69" spans="1:3" x14ac:dyDescent="0.25">
      <c r="A69" t="str">
        <f t="shared" si="1"/>
        <v>01</v>
      </c>
      <c r="B69" t="str">
        <f>"01.1002"</f>
        <v>01.1002</v>
      </c>
      <c r="C69" t="s">
        <v>141</v>
      </c>
    </row>
    <row r="70" spans="1:3" x14ac:dyDescent="0.25">
      <c r="A70" t="str">
        <f t="shared" si="1"/>
        <v>01</v>
      </c>
      <c r="B70" t="str">
        <f>"01.1003"</f>
        <v>01.1003</v>
      </c>
      <c r="C70" t="s">
        <v>1801</v>
      </c>
    </row>
    <row r="71" spans="1:3" x14ac:dyDescent="0.25">
      <c r="A71" t="str">
        <f t="shared" si="1"/>
        <v>01</v>
      </c>
      <c r="B71" t="str">
        <f>"01.1004"</f>
        <v>01.1004</v>
      </c>
      <c r="C71" t="s">
        <v>107</v>
      </c>
    </row>
    <row r="72" spans="1:3" x14ac:dyDescent="0.25">
      <c r="A72" t="str">
        <f t="shared" si="1"/>
        <v>01</v>
      </c>
      <c r="B72" t="str">
        <f>"01.1005"</f>
        <v>01.1005</v>
      </c>
      <c r="C72" t="s">
        <v>1802</v>
      </c>
    </row>
    <row r="73" spans="1:3" x14ac:dyDescent="0.25">
      <c r="A73" t="str">
        <f t="shared" si="1"/>
        <v>01</v>
      </c>
      <c r="B73" t="str">
        <f>"01.1099"</f>
        <v>01.1099</v>
      </c>
      <c r="C73" t="s">
        <v>142</v>
      </c>
    </row>
    <row r="74" spans="1:3" x14ac:dyDescent="0.25">
      <c r="A74" t="str">
        <f t="shared" si="1"/>
        <v>01</v>
      </c>
      <c r="B74" t="str">
        <f>"01.11"</f>
        <v>01.11</v>
      </c>
      <c r="C74" t="s">
        <v>143</v>
      </c>
    </row>
    <row r="75" spans="1:3" x14ac:dyDescent="0.25">
      <c r="A75" t="str">
        <f t="shared" si="1"/>
        <v>01</v>
      </c>
      <c r="B75" t="str">
        <f>"01.1101"</f>
        <v>01.1101</v>
      </c>
      <c r="C75" t="s">
        <v>144</v>
      </c>
    </row>
    <row r="76" spans="1:3" x14ac:dyDescent="0.25">
      <c r="A76" t="str">
        <f t="shared" si="1"/>
        <v>01</v>
      </c>
      <c r="B76" t="str">
        <f>"01.1102"</f>
        <v>01.1102</v>
      </c>
      <c r="C76" t="s">
        <v>145</v>
      </c>
    </row>
    <row r="77" spans="1:3" x14ac:dyDescent="0.25">
      <c r="A77" t="str">
        <f t="shared" si="1"/>
        <v>01</v>
      </c>
      <c r="B77" t="str">
        <f>"01.1103"</f>
        <v>01.1103</v>
      </c>
      <c r="C77" t="s">
        <v>146</v>
      </c>
    </row>
    <row r="78" spans="1:3" x14ac:dyDescent="0.25">
      <c r="A78" t="str">
        <f t="shared" si="1"/>
        <v>01</v>
      </c>
      <c r="B78" t="str">
        <f>"01.1104"</f>
        <v>01.1104</v>
      </c>
      <c r="C78" t="s">
        <v>147</v>
      </c>
    </row>
    <row r="79" spans="1:3" x14ac:dyDescent="0.25">
      <c r="A79" t="str">
        <f t="shared" si="1"/>
        <v>01</v>
      </c>
      <c r="B79" t="str">
        <f>"01.1105"</f>
        <v>01.1105</v>
      </c>
      <c r="C79" t="s">
        <v>148</v>
      </c>
    </row>
    <row r="80" spans="1:3" x14ac:dyDescent="0.25">
      <c r="A80" t="str">
        <f t="shared" si="1"/>
        <v>01</v>
      </c>
      <c r="B80" t="str">
        <f>"01.1106"</f>
        <v>01.1106</v>
      </c>
      <c r="C80" t="s">
        <v>149</v>
      </c>
    </row>
    <row r="81" spans="1:3" x14ac:dyDescent="0.25">
      <c r="A81" t="str">
        <f t="shared" si="1"/>
        <v>01</v>
      </c>
      <c r="B81" t="str">
        <f>"01.1180"</f>
        <v>01.1180</v>
      </c>
      <c r="C81" t="s">
        <v>1797</v>
      </c>
    </row>
    <row r="82" spans="1:3" x14ac:dyDescent="0.25">
      <c r="A82" t="str">
        <f t="shared" si="1"/>
        <v>01</v>
      </c>
      <c r="B82" t="str">
        <f>"01.1199"</f>
        <v>01.1199</v>
      </c>
      <c r="C82" t="s">
        <v>150</v>
      </c>
    </row>
    <row r="83" spans="1:3" x14ac:dyDescent="0.25">
      <c r="A83" t="str">
        <f t="shared" si="1"/>
        <v>01</v>
      </c>
      <c r="B83" t="str">
        <f>"01.12"</f>
        <v>01.12</v>
      </c>
      <c r="C83" t="s">
        <v>151</v>
      </c>
    </row>
    <row r="84" spans="1:3" x14ac:dyDescent="0.25">
      <c r="A84" t="str">
        <f t="shared" si="1"/>
        <v>01</v>
      </c>
      <c r="B84" t="str">
        <f>"01.1201"</f>
        <v>01.1201</v>
      </c>
      <c r="C84" t="s">
        <v>152</v>
      </c>
    </row>
    <row r="85" spans="1:3" x14ac:dyDescent="0.25">
      <c r="A85" t="str">
        <f t="shared" si="1"/>
        <v>01</v>
      </c>
      <c r="B85" t="str">
        <f>"01.1202"</f>
        <v>01.1202</v>
      </c>
      <c r="C85" t="s">
        <v>153</v>
      </c>
    </row>
    <row r="86" spans="1:3" x14ac:dyDescent="0.25">
      <c r="A86" t="str">
        <f t="shared" si="1"/>
        <v>01</v>
      </c>
      <c r="B86" t="str">
        <f>"01.1203"</f>
        <v>01.1203</v>
      </c>
      <c r="C86" t="s">
        <v>154</v>
      </c>
    </row>
    <row r="87" spans="1:3" x14ac:dyDescent="0.25">
      <c r="A87" t="str">
        <f t="shared" si="1"/>
        <v>01</v>
      </c>
      <c r="B87" t="str">
        <f>"01.1299"</f>
        <v>01.1299</v>
      </c>
      <c r="C87" t="s">
        <v>155</v>
      </c>
    </row>
    <row r="88" spans="1:3" x14ac:dyDescent="0.25">
      <c r="A88" t="str">
        <f t="shared" si="1"/>
        <v>01</v>
      </c>
      <c r="B88" t="str">
        <f>"01.13"</f>
        <v>01.13</v>
      </c>
      <c r="C88" t="s">
        <v>1803</v>
      </c>
    </row>
    <row r="89" spans="1:3" x14ac:dyDescent="0.25">
      <c r="A89" t="str">
        <f t="shared" si="1"/>
        <v>01</v>
      </c>
      <c r="B89" t="str">
        <f>"01.1302"</f>
        <v>01.1302</v>
      </c>
      <c r="C89" t="s">
        <v>1507</v>
      </c>
    </row>
    <row r="90" spans="1:3" x14ac:dyDescent="0.25">
      <c r="A90" t="str">
        <f t="shared" si="1"/>
        <v>01</v>
      </c>
      <c r="B90" t="str">
        <f>"01.1399"</f>
        <v>01.1399</v>
      </c>
      <c r="C90" t="s">
        <v>1804</v>
      </c>
    </row>
    <row r="91" spans="1:3" x14ac:dyDescent="0.25">
      <c r="A91" t="str">
        <f t="shared" si="1"/>
        <v>01</v>
      </c>
      <c r="B91" t="str">
        <f>"01.80"</f>
        <v>01.80</v>
      </c>
      <c r="C91" t="s">
        <v>1586</v>
      </c>
    </row>
    <row r="92" spans="1:3" x14ac:dyDescent="0.25">
      <c r="A92" t="str">
        <f t="shared" si="1"/>
        <v>01</v>
      </c>
      <c r="B92" t="str">
        <f>"01.8001"</f>
        <v>01.8001</v>
      </c>
      <c r="C92" t="s">
        <v>1586</v>
      </c>
    </row>
    <row r="93" spans="1:3" x14ac:dyDescent="0.25">
      <c r="A93" t="str">
        <f t="shared" si="1"/>
        <v>01</v>
      </c>
      <c r="B93" t="str">
        <f>"01.81"</f>
        <v>01.81</v>
      </c>
      <c r="C93" t="s">
        <v>1587</v>
      </c>
    </row>
    <row r="94" spans="1:3" x14ac:dyDescent="0.25">
      <c r="A94" t="str">
        <f t="shared" si="1"/>
        <v>01</v>
      </c>
      <c r="B94" t="str">
        <f>"01.8101"</f>
        <v>01.8101</v>
      </c>
      <c r="C94" t="s">
        <v>1588</v>
      </c>
    </row>
    <row r="95" spans="1:3" x14ac:dyDescent="0.25">
      <c r="A95" t="str">
        <f t="shared" si="1"/>
        <v>01</v>
      </c>
      <c r="B95" t="str">
        <f>"01.8102"</f>
        <v>01.8102</v>
      </c>
      <c r="C95" t="s">
        <v>1596</v>
      </c>
    </row>
    <row r="96" spans="1:3" x14ac:dyDescent="0.25">
      <c r="A96" t="str">
        <f t="shared" si="1"/>
        <v>01</v>
      </c>
      <c r="B96" t="str">
        <f>"01.8103"</f>
        <v>01.8103</v>
      </c>
      <c r="C96" t="s">
        <v>1594</v>
      </c>
    </row>
    <row r="97" spans="1:3" x14ac:dyDescent="0.25">
      <c r="A97" t="str">
        <f t="shared" si="1"/>
        <v>01</v>
      </c>
      <c r="B97" t="str">
        <f>"01.8104"</f>
        <v>01.8104</v>
      </c>
      <c r="C97" t="s">
        <v>1595</v>
      </c>
    </row>
    <row r="98" spans="1:3" x14ac:dyDescent="0.25">
      <c r="A98" t="str">
        <f t="shared" si="1"/>
        <v>01</v>
      </c>
      <c r="B98" t="str">
        <f>"01.8105"</f>
        <v>01.8105</v>
      </c>
      <c r="C98" t="s">
        <v>1589</v>
      </c>
    </row>
    <row r="99" spans="1:3" x14ac:dyDescent="0.25">
      <c r="A99" t="str">
        <f t="shared" si="1"/>
        <v>01</v>
      </c>
      <c r="B99" t="str">
        <f>"01.8106"</f>
        <v>01.8106</v>
      </c>
      <c r="C99" t="s">
        <v>1598</v>
      </c>
    </row>
    <row r="100" spans="1:3" x14ac:dyDescent="0.25">
      <c r="A100" t="str">
        <f t="shared" si="1"/>
        <v>01</v>
      </c>
      <c r="B100" t="str">
        <f>"01.8107"</f>
        <v>01.8107</v>
      </c>
      <c r="C100" t="s">
        <v>1591</v>
      </c>
    </row>
    <row r="101" spans="1:3" x14ac:dyDescent="0.25">
      <c r="A101" t="str">
        <f t="shared" si="1"/>
        <v>01</v>
      </c>
      <c r="B101" t="str">
        <f>"01.8108"</f>
        <v>01.8108</v>
      </c>
      <c r="C101" t="s">
        <v>1592</v>
      </c>
    </row>
    <row r="102" spans="1:3" x14ac:dyDescent="0.25">
      <c r="A102" t="str">
        <f t="shared" si="1"/>
        <v>01</v>
      </c>
      <c r="B102" t="str">
        <f>"01.8109"</f>
        <v>01.8109</v>
      </c>
      <c r="C102" t="s">
        <v>1590</v>
      </c>
    </row>
    <row r="103" spans="1:3" x14ac:dyDescent="0.25">
      <c r="A103" t="str">
        <f t="shared" si="1"/>
        <v>01</v>
      </c>
      <c r="B103" t="str">
        <f>"01.8110"</f>
        <v>01.8110</v>
      </c>
      <c r="C103" t="s">
        <v>1597</v>
      </c>
    </row>
    <row r="104" spans="1:3" x14ac:dyDescent="0.25">
      <c r="A104" t="str">
        <f t="shared" si="1"/>
        <v>01</v>
      </c>
      <c r="B104" t="str">
        <f>"01.8111"</f>
        <v>01.8111</v>
      </c>
      <c r="C104" t="s">
        <v>1593</v>
      </c>
    </row>
    <row r="105" spans="1:3" x14ac:dyDescent="0.25">
      <c r="A105" t="str">
        <f t="shared" si="1"/>
        <v>01</v>
      </c>
      <c r="B105" t="str">
        <f>"01.8199"</f>
        <v>01.8199</v>
      </c>
      <c r="C105" t="s">
        <v>1599</v>
      </c>
    </row>
    <row r="106" spans="1:3" x14ac:dyDescent="0.25">
      <c r="A106" t="str">
        <f t="shared" si="1"/>
        <v>01</v>
      </c>
      <c r="B106" t="str">
        <f>"01.82"</f>
        <v>01.82</v>
      </c>
      <c r="C106" t="s">
        <v>1805</v>
      </c>
    </row>
    <row r="107" spans="1:3" x14ac:dyDescent="0.25">
      <c r="A107" t="str">
        <f t="shared" si="1"/>
        <v>01</v>
      </c>
      <c r="B107" t="str">
        <f>"01.8201"</f>
        <v>01.8201</v>
      </c>
      <c r="C107" t="s">
        <v>1806</v>
      </c>
    </row>
    <row r="108" spans="1:3" x14ac:dyDescent="0.25">
      <c r="A108" t="str">
        <f t="shared" si="1"/>
        <v>01</v>
      </c>
      <c r="B108" t="str">
        <f>"01.8202"</f>
        <v>01.8202</v>
      </c>
      <c r="C108" t="s">
        <v>1807</v>
      </c>
    </row>
    <row r="109" spans="1:3" x14ac:dyDescent="0.25">
      <c r="A109" t="str">
        <f t="shared" si="1"/>
        <v>01</v>
      </c>
      <c r="B109" t="str">
        <f>"01.8203"</f>
        <v>01.8203</v>
      </c>
      <c r="C109" t="s">
        <v>1808</v>
      </c>
    </row>
    <row r="110" spans="1:3" x14ac:dyDescent="0.25">
      <c r="A110" t="str">
        <f t="shared" si="1"/>
        <v>01</v>
      </c>
      <c r="B110" t="str">
        <f>"01.8204"</f>
        <v>01.8204</v>
      </c>
      <c r="C110" t="s">
        <v>1809</v>
      </c>
    </row>
    <row r="111" spans="1:3" x14ac:dyDescent="0.25">
      <c r="A111" t="str">
        <f t="shared" si="1"/>
        <v>01</v>
      </c>
      <c r="B111" t="str">
        <f>"01.8299"</f>
        <v>01.8299</v>
      </c>
      <c r="C111" t="s">
        <v>1810</v>
      </c>
    </row>
    <row r="112" spans="1:3" x14ac:dyDescent="0.25">
      <c r="A112" t="str">
        <f t="shared" si="1"/>
        <v>01</v>
      </c>
      <c r="B112" t="str">
        <f>"01.83"</f>
        <v>01.83</v>
      </c>
      <c r="C112" t="s">
        <v>1811</v>
      </c>
    </row>
    <row r="113" spans="1:3" x14ac:dyDescent="0.25">
      <c r="A113" t="str">
        <f t="shared" si="1"/>
        <v>01</v>
      </c>
      <c r="B113" t="str">
        <f>"01.8301"</f>
        <v>01.8301</v>
      </c>
      <c r="C113" t="s">
        <v>1460</v>
      </c>
    </row>
    <row r="114" spans="1:3" x14ac:dyDescent="0.25">
      <c r="A114" t="str">
        <f t="shared" si="1"/>
        <v>01</v>
      </c>
      <c r="B114" t="str">
        <f>"01.8399"</f>
        <v>01.8399</v>
      </c>
      <c r="C114" t="s">
        <v>1812</v>
      </c>
    </row>
    <row r="115" spans="1:3" x14ac:dyDescent="0.25">
      <c r="A115" t="str">
        <f t="shared" si="1"/>
        <v>01</v>
      </c>
      <c r="B115" t="str">
        <f>"01.99"</f>
        <v>01.99</v>
      </c>
      <c r="C115" t="s">
        <v>1813</v>
      </c>
    </row>
    <row r="116" spans="1:3" x14ac:dyDescent="0.25">
      <c r="A116" t="str">
        <f t="shared" si="1"/>
        <v>01</v>
      </c>
      <c r="B116" t="str">
        <f>"01.9999"</f>
        <v>01.9999</v>
      </c>
      <c r="C116" t="s">
        <v>1813</v>
      </c>
    </row>
    <row r="117" spans="1:3" x14ac:dyDescent="0.25">
      <c r="A117" t="str">
        <f>"03"</f>
        <v>03</v>
      </c>
      <c r="B117" t="str">
        <f>"03"</f>
        <v>03</v>
      </c>
      <c r="C117" t="s">
        <v>156</v>
      </c>
    </row>
    <row r="118" spans="1:3" x14ac:dyDescent="0.25">
      <c r="A118" t="str">
        <f t="shared" ref="A118:A147" si="2">"03"</f>
        <v>03</v>
      </c>
      <c r="B118" t="str">
        <f>"03.01"</f>
        <v>03.01</v>
      </c>
      <c r="C118" t="s">
        <v>157</v>
      </c>
    </row>
    <row r="119" spans="1:3" x14ac:dyDescent="0.25">
      <c r="A119" t="str">
        <f t="shared" si="2"/>
        <v>03</v>
      </c>
      <c r="B119" t="str">
        <f>"03.0101"</f>
        <v>03.0101</v>
      </c>
      <c r="C119" t="s">
        <v>158</v>
      </c>
    </row>
    <row r="120" spans="1:3" x14ac:dyDescent="0.25">
      <c r="A120" t="str">
        <f t="shared" si="2"/>
        <v>03</v>
      </c>
      <c r="B120" t="str">
        <f>"03.0103"</f>
        <v>03.0103</v>
      </c>
      <c r="C120" t="s">
        <v>159</v>
      </c>
    </row>
    <row r="121" spans="1:3" x14ac:dyDescent="0.25">
      <c r="A121" t="str">
        <f t="shared" si="2"/>
        <v>03</v>
      </c>
      <c r="B121" t="str">
        <f>"03.0104"</f>
        <v>03.0104</v>
      </c>
      <c r="C121" t="s">
        <v>160</v>
      </c>
    </row>
    <row r="122" spans="1:3" x14ac:dyDescent="0.25">
      <c r="A122" t="str">
        <f t="shared" si="2"/>
        <v>03</v>
      </c>
      <c r="B122" t="str">
        <f>"03.0199"</f>
        <v>03.0199</v>
      </c>
      <c r="C122" t="s">
        <v>161</v>
      </c>
    </row>
    <row r="123" spans="1:3" x14ac:dyDescent="0.25">
      <c r="A123" t="str">
        <f t="shared" si="2"/>
        <v>03</v>
      </c>
      <c r="B123" t="str">
        <f>"03.02"</f>
        <v>03.02</v>
      </c>
      <c r="C123" t="s">
        <v>1814</v>
      </c>
    </row>
    <row r="124" spans="1:3" x14ac:dyDescent="0.25">
      <c r="A124" t="str">
        <f t="shared" si="2"/>
        <v>03</v>
      </c>
      <c r="B124" t="str">
        <f>"03.0201"</f>
        <v>03.0201</v>
      </c>
      <c r="C124" t="s">
        <v>1815</v>
      </c>
    </row>
    <row r="125" spans="1:3" x14ac:dyDescent="0.25">
      <c r="A125" t="str">
        <f t="shared" si="2"/>
        <v>03</v>
      </c>
      <c r="B125" t="str">
        <f>"03.0204"</f>
        <v>03.0204</v>
      </c>
      <c r="C125" t="s">
        <v>1816</v>
      </c>
    </row>
    <row r="126" spans="1:3" x14ac:dyDescent="0.25">
      <c r="A126" t="str">
        <f t="shared" si="2"/>
        <v>03</v>
      </c>
      <c r="B126" t="str">
        <f>"03.0205"</f>
        <v>03.0205</v>
      </c>
      <c r="C126" t="s">
        <v>162</v>
      </c>
    </row>
    <row r="127" spans="1:3" x14ac:dyDescent="0.25">
      <c r="A127" t="str">
        <f t="shared" si="2"/>
        <v>03</v>
      </c>
      <c r="B127" t="str">
        <f>"03.0206"</f>
        <v>03.0206</v>
      </c>
      <c r="C127" t="s">
        <v>163</v>
      </c>
    </row>
    <row r="128" spans="1:3" x14ac:dyDescent="0.25">
      <c r="A128" t="str">
        <f t="shared" si="2"/>
        <v>03</v>
      </c>
      <c r="B128" t="str">
        <f>"03.0207"</f>
        <v>03.0207</v>
      </c>
      <c r="C128" t="s">
        <v>1817</v>
      </c>
    </row>
    <row r="129" spans="1:3" x14ac:dyDescent="0.25">
      <c r="A129" t="str">
        <f t="shared" si="2"/>
        <v>03</v>
      </c>
      <c r="B129" t="str">
        <f>"03.0208"</f>
        <v>03.0208</v>
      </c>
      <c r="C129" t="s">
        <v>1818</v>
      </c>
    </row>
    <row r="130" spans="1:3" x14ac:dyDescent="0.25">
      <c r="A130" t="str">
        <f t="shared" si="2"/>
        <v>03</v>
      </c>
      <c r="B130" t="str">
        <f>"03.0209"</f>
        <v>03.0209</v>
      </c>
      <c r="C130" t="s">
        <v>1819</v>
      </c>
    </row>
    <row r="131" spans="1:3" x14ac:dyDescent="0.25">
      <c r="A131" t="str">
        <f t="shared" si="2"/>
        <v>03</v>
      </c>
      <c r="B131" t="str">
        <f>"03.0210"</f>
        <v>03.0210</v>
      </c>
      <c r="C131" t="s">
        <v>1820</v>
      </c>
    </row>
    <row r="132" spans="1:3" x14ac:dyDescent="0.25">
      <c r="A132" t="str">
        <f t="shared" si="2"/>
        <v>03</v>
      </c>
      <c r="B132" t="str">
        <f>"03.0299"</f>
        <v>03.0299</v>
      </c>
      <c r="C132" t="s">
        <v>1821</v>
      </c>
    </row>
    <row r="133" spans="1:3" x14ac:dyDescent="0.25">
      <c r="A133" t="str">
        <f t="shared" si="2"/>
        <v>03</v>
      </c>
      <c r="B133" t="str">
        <f>"03.03"</f>
        <v>03.03</v>
      </c>
      <c r="C133" t="s">
        <v>164</v>
      </c>
    </row>
    <row r="134" spans="1:3" x14ac:dyDescent="0.25">
      <c r="A134" t="str">
        <f t="shared" si="2"/>
        <v>03</v>
      </c>
      <c r="B134" t="str">
        <f>"03.0301"</f>
        <v>03.0301</v>
      </c>
      <c r="C134" t="s">
        <v>164</v>
      </c>
    </row>
    <row r="135" spans="1:3" x14ac:dyDescent="0.25">
      <c r="A135" t="str">
        <f t="shared" si="2"/>
        <v>03</v>
      </c>
      <c r="B135" t="str">
        <f>"03.05"</f>
        <v>03.05</v>
      </c>
      <c r="C135" t="s">
        <v>165</v>
      </c>
    </row>
    <row r="136" spans="1:3" x14ac:dyDescent="0.25">
      <c r="A136" t="str">
        <f t="shared" si="2"/>
        <v>03</v>
      </c>
      <c r="B136" t="str">
        <f>"03.0501"</f>
        <v>03.0501</v>
      </c>
      <c r="C136" t="s">
        <v>166</v>
      </c>
    </row>
    <row r="137" spans="1:3" x14ac:dyDescent="0.25">
      <c r="A137" t="str">
        <f t="shared" si="2"/>
        <v>03</v>
      </c>
      <c r="B137" t="str">
        <f>"03.0502"</f>
        <v>03.0502</v>
      </c>
      <c r="C137" t="s">
        <v>167</v>
      </c>
    </row>
    <row r="138" spans="1:3" x14ac:dyDescent="0.25">
      <c r="A138" t="str">
        <f t="shared" si="2"/>
        <v>03</v>
      </c>
      <c r="B138" t="str">
        <f>"03.0506"</f>
        <v>03.0506</v>
      </c>
      <c r="C138" t="s">
        <v>168</v>
      </c>
    </row>
    <row r="139" spans="1:3" x14ac:dyDescent="0.25">
      <c r="A139" t="str">
        <f t="shared" si="2"/>
        <v>03</v>
      </c>
      <c r="B139" t="str">
        <f>"03.0508"</f>
        <v>03.0508</v>
      </c>
      <c r="C139" t="s">
        <v>169</v>
      </c>
    </row>
    <row r="140" spans="1:3" x14ac:dyDescent="0.25">
      <c r="A140" t="str">
        <f t="shared" si="2"/>
        <v>03</v>
      </c>
      <c r="B140" t="str">
        <f>"03.0509"</f>
        <v>03.0509</v>
      </c>
      <c r="C140" t="s">
        <v>1822</v>
      </c>
    </row>
    <row r="141" spans="1:3" x14ac:dyDescent="0.25">
      <c r="A141" t="str">
        <f t="shared" si="2"/>
        <v>03</v>
      </c>
      <c r="B141" t="str">
        <f>"03.0510"</f>
        <v>03.0510</v>
      </c>
      <c r="C141" t="s">
        <v>170</v>
      </c>
    </row>
    <row r="142" spans="1:3" x14ac:dyDescent="0.25">
      <c r="A142" t="str">
        <f t="shared" si="2"/>
        <v>03</v>
      </c>
      <c r="B142" t="str">
        <f>"03.0511"</f>
        <v>03.0511</v>
      </c>
      <c r="C142" t="s">
        <v>171</v>
      </c>
    </row>
    <row r="143" spans="1:3" x14ac:dyDescent="0.25">
      <c r="A143" t="str">
        <f t="shared" si="2"/>
        <v>03</v>
      </c>
      <c r="B143" t="str">
        <f>"03.0599"</f>
        <v>03.0599</v>
      </c>
      <c r="C143" t="s">
        <v>172</v>
      </c>
    </row>
    <row r="144" spans="1:3" x14ac:dyDescent="0.25">
      <c r="A144" t="str">
        <f t="shared" si="2"/>
        <v>03</v>
      </c>
      <c r="B144" t="str">
        <f>"03.06"</f>
        <v>03.06</v>
      </c>
      <c r="C144" t="s">
        <v>173</v>
      </c>
    </row>
    <row r="145" spans="1:3" x14ac:dyDescent="0.25">
      <c r="A145" t="str">
        <f t="shared" si="2"/>
        <v>03</v>
      </c>
      <c r="B145" t="str">
        <f>"03.0601"</f>
        <v>03.0601</v>
      </c>
      <c r="C145" t="s">
        <v>1823</v>
      </c>
    </row>
    <row r="146" spans="1:3" x14ac:dyDescent="0.25">
      <c r="A146" t="str">
        <f t="shared" si="2"/>
        <v>03</v>
      </c>
      <c r="B146" t="str">
        <f>"03.99"</f>
        <v>03.99</v>
      </c>
      <c r="C146" t="s">
        <v>174</v>
      </c>
    </row>
    <row r="147" spans="1:3" x14ac:dyDescent="0.25">
      <c r="A147" t="str">
        <f t="shared" si="2"/>
        <v>03</v>
      </c>
      <c r="B147" t="str">
        <f>"03.9999"</f>
        <v>03.9999</v>
      </c>
      <c r="C147" t="s">
        <v>174</v>
      </c>
    </row>
    <row r="148" spans="1:3" x14ac:dyDescent="0.25">
      <c r="A148" t="str">
        <f>"04"</f>
        <v>04</v>
      </c>
      <c r="B148" t="str">
        <f>"04"</f>
        <v>04</v>
      </c>
      <c r="C148" t="s">
        <v>175</v>
      </c>
    </row>
    <row r="149" spans="1:3" x14ac:dyDescent="0.25">
      <c r="A149" t="str">
        <f t="shared" ref="A149:A177" si="3">"04"</f>
        <v>04</v>
      </c>
      <c r="B149" t="str">
        <f>"04.02"</f>
        <v>04.02</v>
      </c>
      <c r="C149" t="s">
        <v>176</v>
      </c>
    </row>
    <row r="150" spans="1:3" x14ac:dyDescent="0.25">
      <c r="A150" t="str">
        <f t="shared" si="3"/>
        <v>04</v>
      </c>
      <c r="B150" t="str">
        <f>"04.0200"</f>
        <v>04.0200</v>
      </c>
      <c r="C150" t="s">
        <v>1824</v>
      </c>
    </row>
    <row r="151" spans="1:3" x14ac:dyDescent="0.25">
      <c r="A151" t="str">
        <f t="shared" si="3"/>
        <v>04</v>
      </c>
      <c r="B151" t="str">
        <f>"04.0201"</f>
        <v>04.0201</v>
      </c>
      <c r="C151" t="s">
        <v>176</v>
      </c>
    </row>
    <row r="152" spans="1:3" x14ac:dyDescent="0.25">
      <c r="A152" t="str">
        <f t="shared" si="3"/>
        <v>04</v>
      </c>
      <c r="B152" t="str">
        <f>"04.0202"</f>
        <v>04.0202</v>
      </c>
      <c r="C152" t="s">
        <v>1825</v>
      </c>
    </row>
    <row r="153" spans="1:3" x14ac:dyDescent="0.25">
      <c r="A153" t="str">
        <f t="shared" si="3"/>
        <v>04</v>
      </c>
      <c r="B153" t="str">
        <f>"04.0299"</f>
        <v>04.0299</v>
      </c>
      <c r="C153" t="s">
        <v>1826</v>
      </c>
    </row>
    <row r="154" spans="1:3" x14ac:dyDescent="0.25">
      <c r="A154" t="str">
        <f t="shared" si="3"/>
        <v>04</v>
      </c>
      <c r="B154" t="str">
        <f>"04.03"</f>
        <v>04.03</v>
      </c>
      <c r="C154" t="s">
        <v>1827</v>
      </c>
    </row>
    <row r="155" spans="1:3" x14ac:dyDescent="0.25">
      <c r="A155" t="str">
        <f t="shared" si="3"/>
        <v>04</v>
      </c>
      <c r="B155" t="str">
        <f>"04.0301"</f>
        <v>04.0301</v>
      </c>
      <c r="C155" t="s">
        <v>1827</v>
      </c>
    </row>
    <row r="156" spans="1:3" x14ac:dyDescent="0.25">
      <c r="A156" t="str">
        <f t="shared" si="3"/>
        <v>04</v>
      </c>
      <c r="B156" t="str">
        <f>"04.04"</f>
        <v>04.04</v>
      </c>
      <c r="C156" t="s">
        <v>177</v>
      </c>
    </row>
    <row r="157" spans="1:3" x14ac:dyDescent="0.25">
      <c r="A157" t="str">
        <f t="shared" si="3"/>
        <v>04</v>
      </c>
      <c r="B157" t="str">
        <f>"04.0401"</f>
        <v>04.0401</v>
      </c>
      <c r="C157" t="s">
        <v>1828</v>
      </c>
    </row>
    <row r="158" spans="1:3" x14ac:dyDescent="0.25">
      <c r="A158" t="str">
        <f t="shared" si="3"/>
        <v>04</v>
      </c>
      <c r="B158" t="str">
        <f>"04.0402"</f>
        <v>04.0402</v>
      </c>
      <c r="C158" t="s">
        <v>1829</v>
      </c>
    </row>
    <row r="159" spans="1:3" x14ac:dyDescent="0.25">
      <c r="A159" t="str">
        <f t="shared" si="3"/>
        <v>04</v>
      </c>
      <c r="B159" t="str">
        <f>"04.0403"</f>
        <v>04.0403</v>
      </c>
      <c r="C159" t="s">
        <v>1830</v>
      </c>
    </row>
    <row r="160" spans="1:3" x14ac:dyDescent="0.25">
      <c r="A160" t="str">
        <f t="shared" si="3"/>
        <v>04</v>
      </c>
      <c r="B160" t="str">
        <f>"04.0499"</f>
        <v>04.0499</v>
      </c>
      <c r="C160" t="s">
        <v>1831</v>
      </c>
    </row>
    <row r="161" spans="1:3" x14ac:dyDescent="0.25">
      <c r="A161" t="str">
        <f t="shared" si="3"/>
        <v>04</v>
      </c>
      <c r="B161" t="str">
        <f>"04.05"</f>
        <v>04.05</v>
      </c>
      <c r="C161" t="s">
        <v>178</v>
      </c>
    </row>
    <row r="162" spans="1:3" x14ac:dyDescent="0.25">
      <c r="A162" t="str">
        <f t="shared" si="3"/>
        <v>04</v>
      </c>
      <c r="B162" t="str">
        <f>"04.0501"</f>
        <v>04.0501</v>
      </c>
      <c r="C162" t="s">
        <v>178</v>
      </c>
    </row>
    <row r="163" spans="1:3" x14ac:dyDescent="0.25">
      <c r="A163" t="str">
        <f t="shared" si="3"/>
        <v>04</v>
      </c>
      <c r="B163" t="str">
        <f>"04.06"</f>
        <v>04.06</v>
      </c>
      <c r="C163" t="s">
        <v>179</v>
      </c>
    </row>
    <row r="164" spans="1:3" x14ac:dyDescent="0.25">
      <c r="A164" t="str">
        <f t="shared" si="3"/>
        <v>04</v>
      </c>
      <c r="B164" t="str">
        <f>"04.0601"</f>
        <v>04.0601</v>
      </c>
      <c r="C164" t="s">
        <v>179</v>
      </c>
    </row>
    <row r="165" spans="1:3" x14ac:dyDescent="0.25">
      <c r="A165" t="str">
        <f t="shared" si="3"/>
        <v>04</v>
      </c>
      <c r="B165" t="str">
        <f>"04.08"</f>
        <v>04.08</v>
      </c>
      <c r="C165" t="s">
        <v>1832</v>
      </c>
    </row>
    <row r="166" spans="1:3" x14ac:dyDescent="0.25">
      <c r="A166" t="str">
        <f t="shared" si="3"/>
        <v>04</v>
      </c>
      <c r="B166" t="str">
        <f>"04.0801"</f>
        <v>04.0801</v>
      </c>
      <c r="C166" t="s">
        <v>1833</v>
      </c>
    </row>
    <row r="167" spans="1:3" x14ac:dyDescent="0.25">
      <c r="A167" t="str">
        <f t="shared" si="3"/>
        <v>04</v>
      </c>
      <c r="B167" t="str">
        <f>"04.0802"</f>
        <v>04.0802</v>
      </c>
      <c r="C167" t="s">
        <v>1834</v>
      </c>
    </row>
    <row r="168" spans="1:3" x14ac:dyDescent="0.25">
      <c r="A168" t="str">
        <f t="shared" si="3"/>
        <v>04</v>
      </c>
      <c r="B168" t="str">
        <f>"04.0803"</f>
        <v>04.0803</v>
      </c>
      <c r="C168" t="s">
        <v>1835</v>
      </c>
    </row>
    <row r="169" spans="1:3" x14ac:dyDescent="0.25">
      <c r="A169" t="str">
        <f t="shared" si="3"/>
        <v>04</v>
      </c>
      <c r="B169" t="str">
        <f>"04.0899"</f>
        <v>04.0899</v>
      </c>
      <c r="C169" t="s">
        <v>1836</v>
      </c>
    </row>
    <row r="170" spans="1:3" x14ac:dyDescent="0.25">
      <c r="A170" t="str">
        <f t="shared" si="3"/>
        <v>04</v>
      </c>
      <c r="B170" t="str">
        <f>"04.09"</f>
        <v>04.09</v>
      </c>
      <c r="C170" t="s">
        <v>180</v>
      </c>
    </row>
    <row r="171" spans="1:3" x14ac:dyDescent="0.25">
      <c r="A171" t="str">
        <f t="shared" si="3"/>
        <v>04</v>
      </c>
      <c r="B171" t="str">
        <f>"04.0901"</f>
        <v>04.0901</v>
      </c>
      <c r="C171" t="s">
        <v>181</v>
      </c>
    </row>
    <row r="172" spans="1:3" x14ac:dyDescent="0.25">
      <c r="A172" t="str">
        <f t="shared" si="3"/>
        <v>04</v>
      </c>
      <c r="B172" t="str">
        <f>"04.0902"</f>
        <v>04.0902</v>
      </c>
      <c r="C172" t="s">
        <v>182</v>
      </c>
    </row>
    <row r="173" spans="1:3" x14ac:dyDescent="0.25">
      <c r="A173" t="str">
        <f t="shared" si="3"/>
        <v>04</v>
      </c>
      <c r="B173" t="str">
        <f>"04.0999"</f>
        <v>04.0999</v>
      </c>
      <c r="C173" t="s">
        <v>183</v>
      </c>
    </row>
    <row r="174" spans="1:3" x14ac:dyDescent="0.25">
      <c r="A174" t="str">
        <f t="shared" si="3"/>
        <v>04</v>
      </c>
      <c r="B174" t="str">
        <f>"04.10"</f>
        <v>04.10</v>
      </c>
      <c r="C174" t="s">
        <v>184</v>
      </c>
    </row>
    <row r="175" spans="1:3" x14ac:dyDescent="0.25">
      <c r="A175" t="str">
        <f t="shared" si="3"/>
        <v>04</v>
      </c>
      <c r="B175" t="str">
        <f>"04.1001"</f>
        <v>04.1001</v>
      </c>
      <c r="C175" t="s">
        <v>184</v>
      </c>
    </row>
    <row r="176" spans="1:3" x14ac:dyDescent="0.25">
      <c r="A176" t="str">
        <f t="shared" si="3"/>
        <v>04</v>
      </c>
      <c r="B176" t="str">
        <f>"04.99"</f>
        <v>04.99</v>
      </c>
      <c r="C176" t="s">
        <v>185</v>
      </c>
    </row>
    <row r="177" spans="1:3" x14ac:dyDescent="0.25">
      <c r="A177" t="str">
        <f t="shared" si="3"/>
        <v>04</v>
      </c>
      <c r="B177" t="str">
        <f>"04.9999"</f>
        <v>04.9999</v>
      </c>
      <c r="C177" t="s">
        <v>185</v>
      </c>
    </row>
    <row r="178" spans="1:3" x14ac:dyDescent="0.25">
      <c r="A178" t="str">
        <f>"05"</f>
        <v>05</v>
      </c>
      <c r="B178" t="str">
        <f>"05"</f>
        <v>05</v>
      </c>
      <c r="C178" t="s">
        <v>186</v>
      </c>
    </row>
    <row r="179" spans="1:3" x14ac:dyDescent="0.25">
      <c r="A179" t="str">
        <f t="shared" ref="A179:A231" si="4">"05"</f>
        <v>05</v>
      </c>
      <c r="B179" t="str">
        <f>"05.01"</f>
        <v>05.01</v>
      </c>
      <c r="C179" t="s">
        <v>187</v>
      </c>
    </row>
    <row r="180" spans="1:3" x14ac:dyDescent="0.25">
      <c r="A180" t="str">
        <f t="shared" si="4"/>
        <v>05</v>
      </c>
      <c r="B180" t="str">
        <f>"05.0101"</f>
        <v>05.0101</v>
      </c>
      <c r="C180" t="s">
        <v>188</v>
      </c>
    </row>
    <row r="181" spans="1:3" x14ac:dyDescent="0.25">
      <c r="A181" t="str">
        <f t="shared" si="4"/>
        <v>05</v>
      </c>
      <c r="B181" t="str">
        <f>"05.0102"</f>
        <v>05.0102</v>
      </c>
      <c r="C181" t="s">
        <v>189</v>
      </c>
    </row>
    <row r="182" spans="1:3" x14ac:dyDescent="0.25">
      <c r="A182" t="str">
        <f t="shared" si="4"/>
        <v>05</v>
      </c>
      <c r="B182" t="str">
        <f>"05.0103"</f>
        <v>05.0103</v>
      </c>
      <c r="C182" t="s">
        <v>190</v>
      </c>
    </row>
    <row r="183" spans="1:3" x14ac:dyDescent="0.25">
      <c r="A183" t="str">
        <f t="shared" si="4"/>
        <v>05</v>
      </c>
      <c r="B183" t="str">
        <f>"05.0104"</f>
        <v>05.0104</v>
      </c>
      <c r="C183" t="s">
        <v>191</v>
      </c>
    </row>
    <row r="184" spans="1:3" x14ac:dyDescent="0.25">
      <c r="A184" t="str">
        <f t="shared" si="4"/>
        <v>05</v>
      </c>
      <c r="B184" t="str">
        <f>"05.0105"</f>
        <v>05.0105</v>
      </c>
      <c r="C184" t="s">
        <v>192</v>
      </c>
    </row>
    <row r="185" spans="1:3" x14ac:dyDescent="0.25">
      <c r="A185" t="str">
        <f t="shared" si="4"/>
        <v>05</v>
      </c>
      <c r="B185" t="str">
        <f>"05.0106"</f>
        <v>05.0106</v>
      </c>
      <c r="C185" t="s">
        <v>193</v>
      </c>
    </row>
    <row r="186" spans="1:3" x14ac:dyDescent="0.25">
      <c r="A186" t="str">
        <f t="shared" si="4"/>
        <v>05</v>
      </c>
      <c r="B186" t="str">
        <f>"05.0107"</f>
        <v>05.0107</v>
      </c>
      <c r="C186" t="s">
        <v>194</v>
      </c>
    </row>
    <row r="187" spans="1:3" x14ac:dyDescent="0.25">
      <c r="A187" t="str">
        <f t="shared" si="4"/>
        <v>05</v>
      </c>
      <c r="B187" t="str">
        <f>"05.0108"</f>
        <v>05.0108</v>
      </c>
      <c r="C187" t="s">
        <v>195</v>
      </c>
    </row>
    <row r="188" spans="1:3" x14ac:dyDescent="0.25">
      <c r="A188" t="str">
        <f t="shared" si="4"/>
        <v>05</v>
      </c>
      <c r="B188" t="str">
        <f>"05.0109"</f>
        <v>05.0109</v>
      </c>
      <c r="C188" t="s">
        <v>196</v>
      </c>
    </row>
    <row r="189" spans="1:3" x14ac:dyDescent="0.25">
      <c r="A189" t="str">
        <f t="shared" si="4"/>
        <v>05</v>
      </c>
      <c r="B189" t="str">
        <f>"05.0110"</f>
        <v>05.0110</v>
      </c>
      <c r="C189" t="s">
        <v>197</v>
      </c>
    </row>
    <row r="190" spans="1:3" x14ac:dyDescent="0.25">
      <c r="A190" t="str">
        <f t="shared" si="4"/>
        <v>05</v>
      </c>
      <c r="B190" t="str">
        <f>"05.0111"</f>
        <v>05.0111</v>
      </c>
      <c r="C190" t="s">
        <v>198</v>
      </c>
    </row>
    <row r="191" spans="1:3" x14ac:dyDescent="0.25">
      <c r="A191" t="str">
        <f t="shared" si="4"/>
        <v>05</v>
      </c>
      <c r="B191" t="str">
        <f>"05.0112"</f>
        <v>05.0112</v>
      </c>
      <c r="C191" t="s">
        <v>199</v>
      </c>
    </row>
    <row r="192" spans="1:3" x14ac:dyDescent="0.25">
      <c r="A192" t="str">
        <f t="shared" si="4"/>
        <v>05</v>
      </c>
      <c r="B192" t="str">
        <f>"05.0113"</f>
        <v>05.0113</v>
      </c>
      <c r="C192" t="s">
        <v>200</v>
      </c>
    </row>
    <row r="193" spans="1:3" x14ac:dyDescent="0.25">
      <c r="A193" t="str">
        <f t="shared" si="4"/>
        <v>05</v>
      </c>
      <c r="B193" t="str">
        <f>"05.0114"</f>
        <v>05.0114</v>
      </c>
      <c r="C193" t="s">
        <v>201</v>
      </c>
    </row>
    <row r="194" spans="1:3" x14ac:dyDescent="0.25">
      <c r="A194" t="str">
        <f t="shared" si="4"/>
        <v>05</v>
      </c>
      <c r="B194" t="str">
        <f>"05.0115"</f>
        <v>05.0115</v>
      </c>
      <c r="C194" t="s">
        <v>202</v>
      </c>
    </row>
    <row r="195" spans="1:3" x14ac:dyDescent="0.25">
      <c r="A195" t="str">
        <f t="shared" si="4"/>
        <v>05</v>
      </c>
      <c r="B195" t="str">
        <f>"05.0116"</f>
        <v>05.0116</v>
      </c>
      <c r="C195" t="s">
        <v>203</v>
      </c>
    </row>
    <row r="196" spans="1:3" x14ac:dyDescent="0.25">
      <c r="A196" t="str">
        <f t="shared" si="4"/>
        <v>05</v>
      </c>
      <c r="B196" t="str">
        <f>"05.0117"</f>
        <v>05.0117</v>
      </c>
      <c r="C196" t="s">
        <v>204</v>
      </c>
    </row>
    <row r="197" spans="1:3" x14ac:dyDescent="0.25">
      <c r="A197" t="str">
        <f t="shared" si="4"/>
        <v>05</v>
      </c>
      <c r="B197" t="str">
        <f>"05.0118"</f>
        <v>05.0118</v>
      </c>
      <c r="C197" t="s">
        <v>205</v>
      </c>
    </row>
    <row r="198" spans="1:3" x14ac:dyDescent="0.25">
      <c r="A198" t="str">
        <f t="shared" si="4"/>
        <v>05</v>
      </c>
      <c r="B198" t="str">
        <f>"05.0119"</f>
        <v>05.0119</v>
      </c>
      <c r="C198" t="s">
        <v>206</v>
      </c>
    </row>
    <row r="199" spans="1:3" x14ac:dyDescent="0.25">
      <c r="A199" t="str">
        <f t="shared" si="4"/>
        <v>05</v>
      </c>
      <c r="B199" t="str">
        <f>"05.0120"</f>
        <v>05.0120</v>
      </c>
      <c r="C199" t="s">
        <v>207</v>
      </c>
    </row>
    <row r="200" spans="1:3" x14ac:dyDescent="0.25">
      <c r="A200" t="str">
        <f t="shared" si="4"/>
        <v>05</v>
      </c>
      <c r="B200" t="str">
        <f>"05.0121"</f>
        <v>05.0121</v>
      </c>
      <c r="C200" t="s">
        <v>208</v>
      </c>
    </row>
    <row r="201" spans="1:3" x14ac:dyDescent="0.25">
      <c r="A201" t="str">
        <f t="shared" si="4"/>
        <v>05</v>
      </c>
      <c r="B201" t="str">
        <f>"05.0122"</f>
        <v>05.0122</v>
      </c>
      <c r="C201" t="s">
        <v>1837</v>
      </c>
    </row>
    <row r="202" spans="1:3" x14ac:dyDescent="0.25">
      <c r="A202" t="str">
        <f t="shared" si="4"/>
        <v>05</v>
      </c>
      <c r="B202" t="str">
        <f>"05.0123"</f>
        <v>05.0123</v>
      </c>
      <c r="C202" t="s">
        <v>209</v>
      </c>
    </row>
    <row r="203" spans="1:3" x14ac:dyDescent="0.25">
      <c r="A203" t="str">
        <f t="shared" si="4"/>
        <v>05</v>
      </c>
      <c r="B203" t="str">
        <f>"05.0124"</f>
        <v>05.0124</v>
      </c>
      <c r="C203" t="s">
        <v>210</v>
      </c>
    </row>
    <row r="204" spans="1:3" x14ac:dyDescent="0.25">
      <c r="A204" t="str">
        <f t="shared" si="4"/>
        <v>05</v>
      </c>
      <c r="B204" t="str">
        <f>"05.0125"</f>
        <v>05.0125</v>
      </c>
      <c r="C204" t="s">
        <v>211</v>
      </c>
    </row>
    <row r="205" spans="1:3" x14ac:dyDescent="0.25">
      <c r="A205" t="str">
        <f t="shared" si="4"/>
        <v>05</v>
      </c>
      <c r="B205" t="str">
        <f>"05.0126"</f>
        <v>05.0126</v>
      </c>
      <c r="C205" t="s">
        <v>212</v>
      </c>
    </row>
    <row r="206" spans="1:3" x14ac:dyDescent="0.25">
      <c r="A206" t="str">
        <f t="shared" si="4"/>
        <v>05</v>
      </c>
      <c r="B206" t="str">
        <f>"05.0127"</f>
        <v>05.0127</v>
      </c>
      <c r="C206" t="s">
        <v>213</v>
      </c>
    </row>
    <row r="207" spans="1:3" x14ac:dyDescent="0.25">
      <c r="A207" t="str">
        <f t="shared" si="4"/>
        <v>05</v>
      </c>
      <c r="B207" t="str">
        <f>"05.0128"</f>
        <v>05.0128</v>
      </c>
      <c r="C207" t="s">
        <v>214</v>
      </c>
    </row>
    <row r="208" spans="1:3" x14ac:dyDescent="0.25">
      <c r="A208" t="str">
        <f t="shared" si="4"/>
        <v>05</v>
      </c>
      <c r="B208" t="str">
        <f>"05.0129"</f>
        <v>05.0129</v>
      </c>
      <c r="C208" t="s">
        <v>215</v>
      </c>
    </row>
    <row r="209" spans="1:3" x14ac:dyDescent="0.25">
      <c r="A209" t="str">
        <f t="shared" si="4"/>
        <v>05</v>
      </c>
      <c r="B209" t="str">
        <f>"05.0130"</f>
        <v>05.0130</v>
      </c>
      <c r="C209" t="s">
        <v>216</v>
      </c>
    </row>
    <row r="210" spans="1:3" x14ac:dyDescent="0.25">
      <c r="A210" t="str">
        <f t="shared" si="4"/>
        <v>05</v>
      </c>
      <c r="B210" t="str">
        <f>"05.0131"</f>
        <v>05.0131</v>
      </c>
      <c r="C210" t="s">
        <v>217</v>
      </c>
    </row>
    <row r="211" spans="1:3" x14ac:dyDescent="0.25">
      <c r="A211" t="str">
        <f t="shared" si="4"/>
        <v>05</v>
      </c>
      <c r="B211" t="str">
        <f>"05.0132"</f>
        <v>05.0132</v>
      </c>
      <c r="C211" t="s">
        <v>218</v>
      </c>
    </row>
    <row r="212" spans="1:3" x14ac:dyDescent="0.25">
      <c r="A212" t="str">
        <f t="shared" si="4"/>
        <v>05</v>
      </c>
      <c r="B212" t="str">
        <f>"05.0133"</f>
        <v>05.0133</v>
      </c>
      <c r="C212" t="s">
        <v>219</v>
      </c>
    </row>
    <row r="213" spans="1:3" x14ac:dyDescent="0.25">
      <c r="A213" t="str">
        <f t="shared" si="4"/>
        <v>05</v>
      </c>
      <c r="B213" t="str">
        <f>"05.0134"</f>
        <v>05.0134</v>
      </c>
      <c r="C213" t="s">
        <v>220</v>
      </c>
    </row>
    <row r="214" spans="1:3" x14ac:dyDescent="0.25">
      <c r="A214" t="str">
        <f t="shared" si="4"/>
        <v>05</v>
      </c>
      <c r="B214" t="str">
        <f>"05.0135"</f>
        <v>05.0135</v>
      </c>
      <c r="C214" t="s">
        <v>1838</v>
      </c>
    </row>
    <row r="215" spans="1:3" x14ac:dyDescent="0.25">
      <c r="A215" t="str">
        <f t="shared" si="4"/>
        <v>05</v>
      </c>
      <c r="B215" t="str">
        <f>"05.0136"</f>
        <v>05.0136</v>
      </c>
      <c r="C215" t="s">
        <v>1839</v>
      </c>
    </row>
    <row r="216" spans="1:3" x14ac:dyDescent="0.25">
      <c r="A216" t="str">
        <f t="shared" si="4"/>
        <v>05</v>
      </c>
      <c r="B216" t="str">
        <f>"05.0199"</f>
        <v>05.0199</v>
      </c>
      <c r="C216" t="s">
        <v>221</v>
      </c>
    </row>
    <row r="217" spans="1:3" x14ac:dyDescent="0.25">
      <c r="A217" t="str">
        <f t="shared" si="4"/>
        <v>05</v>
      </c>
      <c r="B217" t="str">
        <f>"05.02"</f>
        <v>05.02</v>
      </c>
      <c r="C217" t="s">
        <v>222</v>
      </c>
    </row>
    <row r="218" spans="1:3" x14ac:dyDescent="0.25">
      <c r="A218" t="str">
        <f t="shared" si="4"/>
        <v>05</v>
      </c>
      <c r="B218" t="str">
        <f>"05.0200"</f>
        <v>05.0200</v>
      </c>
      <c r="C218" t="s">
        <v>223</v>
      </c>
    </row>
    <row r="219" spans="1:3" x14ac:dyDescent="0.25">
      <c r="A219" t="str">
        <f t="shared" si="4"/>
        <v>05</v>
      </c>
      <c r="B219" t="str">
        <f>"05.0201"</f>
        <v>05.0201</v>
      </c>
      <c r="C219" t="s">
        <v>224</v>
      </c>
    </row>
    <row r="220" spans="1:3" x14ac:dyDescent="0.25">
      <c r="A220" t="str">
        <f t="shared" si="4"/>
        <v>05</v>
      </c>
      <c r="B220" t="str">
        <f>"05.0202"</f>
        <v>05.0202</v>
      </c>
      <c r="C220" t="s">
        <v>225</v>
      </c>
    </row>
    <row r="221" spans="1:3" x14ac:dyDescent="0.25">
      <c r="A221" t="str">
        <f t="shared" si="4"/>
        <v>05</v>
      </c>
      <c r="B221" t="str">
        <f>"05.0203"</f>
        <v>05.0203</v>
      </c>
      <c r="C221" t="s">
        <v>226</v>
      </c>
    </row>
    <row r="222" spans="1:3" x14ac:dyDescent="0.25">
      <c r="A222" t="str">
        <f t="shared" si="4"/>
        <v>05</v>
      </c>
      <c r="B222" t="str">
        <f>"05.0206"</f>
        <v>05.0206</v>
      </c>
      <c r="C222" t="s">
        <v>227</v>
      </c>
    </row>
    <row r="223" spans="1:3" x14ac:dyDescent="0.25">
      <c r="A223" t="str">
        <f t="shared" si="4"/>
        <v>05</v>
      </c>
      <c r="B223" t="str">
        <f>"05.0207"</f>
        <v>05.0207</v>
      </c>
      <c r="C223" t="s">
        <v>228</v>
      </c>
    </row>
    <row r="224" spans="1:3" x14ac:dyDescent="0.25">
      <c r="A224" t="str">
        <f t="shared" si="4"/>
        <v>05</v>
      </c>
      <c r="B224" t="str">
        <f>"05.0208"</f>
        <v>05.0208</v>
      </c>
      <c r="C224" t="s">
        <v>229</v>
      </c>
    </row>
    <row r="225" spans="1:3" x14ac:dyDescent="0.25">
      <c r="A225" t="str">
        <f t="shared" si="4"/>
        <v>05</v>
      </c>
      <c r="B225" t="str">
        <f>"05.0209"</f>
        <v>05.0209</v>
      </c>
      <c r="C225" t="s">
        <v>230</v>
      </c>
    </row>
    <row r="226" spans="1:3" x14ac:dyDescent="0.25">
      <c r="A226" t="str">
        <f t="shared" si="4"/>
        <v>05</v>
      </c>
      <c r="B226" t="str">
        <f>"05.0210"</f>
        <v>05.0210</v>
      </c>
      <c r="C226" t="s">
        <v>231</v>
      </c>
    </row>
    <row r="227" spans="1:3" x14ac:dyDescent="0.25">
      <c r="A227" t="str">
        <f t="shared" si="4"/>
        <v>05</v>
      </c>
      <c r="B227" t="str">
        <f>"05.0211"</f>
        <v>05.0211</v>
      </c>
      <c r="C227" t="s">
        <v>232</v>
      </c>
    </row>
    <row r="228" spans="1:3" x14ac:dyDescent="0.25">
      <c r="A228" t="str">
        <f t="shared" si="4"/>
        <v>05</v>
      </c>
      <c r="B228" t="str">
        <f>"05.0212"</f>
        <v>05.0212</v>
      </c>
      <c r="C228" t="s">
        <v>1840</v>
      </c>
    </row>
    <row r="229" spans="1:3" x14ac:dyDescent="0.25">
      <c r="A229" t="str">
        <f t="shared" si="4"/>
        <v>05</v>
      </c>
      <c r="B229" t="str">
        <f>"05.0299"</f>
        <v>05.0299</v>
      </c>
      <c r="C229" t="s">
        <v>233</v>
      </c>
    </row>
    <row r="230" spans="1:3" x14ac:dyDescent="0.25">
      <c r="A230" t="str">
        <f t="shared" si="4"/>
        <v>05</v>
      </c>
      <c r="B230" t="str">
        <f>"05.99"</f>
        <v>05.99</v>
      </c>
      <c r="C230" t="s">
        <v>1841</v>
      </c>
    </row>
    <row r="231" spans="1:3" x14ac:dyDescent="0.25">
      <c r="A231" t="str">
        <f t="shared" si="4"/>
        <v>05</v>
      </c>
      <c r="B231" t="str">
        <f>"05.9999"</f>
        <v>05.9999</v>
      </c>
      <c r="C231" t="s">
        <v>1841</v>
      </c>
    </row>
    <row r="232" spans="1:3" x14ac:dyDescent="0.25">
      <c r="A232" t="str">
        <f>"09"</f>
        <v>09</v>
      </c>
      <c r="B232" t="str">
        <f>"09"</f>
        <v>09</v>
      </c>
      <c r="C232" t="s">
        <v>234</v>
      </c>
    </row>
    <row r="233" spans="1:3" x14ac:dyDescent="0.25">
      <c r="A233" t="str">
        <f t="shared" ref="A233:A265" si="5">"09"</f>
        <v>09</v>
      </c>
      <c r="B233" t="str">
        <f>"09.01"</f>
        <v>09.01</v>
      </c>
      <c r="C233" t="s">
        <v>235</v>
      </c>
    </row>
    <row r="234" spans="1:3" x14ac:dyDescent="0.25">
      <c r="A234" t="str">
        <f t="shared" si="5"/>
        <v>09</v>
      </c>
      <c r="B234" t="str">
        <f>"09.0100"</f>
        <v>09.0100</v>
      </c>
      <c r="C234" t="s">
        <v>236</v>
      </c>
    </row>
    <row r="235" spans="1:3" x14ac:dyDescent="0.25">
      <c r="A235" t="str">
        <f t="shared" si="5"/>
        <v>09</v>
      </c>
      <c r="B235" t="str">
        <f>"09.0101"</f>
        <v>09.0101</v>
      </c>
      <c r="C235" t="s">
        <v>237</v>
      </c>
    </row>
    <row r="236" spans="1:3" x14ac:dyDescent="0.25">
      <c r="A236" t="str">
        <f t="shared" si="5"/>
        <v>09</v>
      </c>
      <c r="B236" t="str">
        <f>"09.0102"</f>
        <v>09.0102</v>
      </c>
      <c r="C236" t="s">
        <v>238</v>
      </c>
    </row>
    <row r="237" spans="1:3" x14ac:dyDescent="0.25">
      <c r="A237" t="str">
        <f t="shared" si="5"/>
        <v>09</v>
      </c>
      <c r="B237" t="str">
        <f>"09.0199"</f>
        <v>09.0199</v>
      </c>
      <c r="C237" t="s">
        <v>239</v>
      </c>
    </row>
    <row r="238" spans="1:3" x14ac:dyDescent="0.25">
      <c r="A238" t="str">
        <f t="shared" si="5"/>
        <v>09</v>
      </c>
      <c r="B238" t="str">
        <f>"09.04"</f>
        <v>09.04</v>
      </c>
      <c r="C238" t="s">
        <v>240</v>
      </c>
    </row>
    <row r="239" spans="1:3" x14ac:dyDescent="0.25">
      <c r="A239" t="str">
        <f t="shared" si="5"/>
        <v>09</v>
      </c>
      <c r="B239" t="str">
        <f>"09.0401"</f>
        <v>09.0401</v>
      </c>
      <c r="C239" t="s">
        <v>240</v>
      </c>
    </row>
    <row r="240" spans="1:3" x14ac:dyDescent="0.25">
      <c r="A240" t="str">
        <f t="shared" si="5"/>
        <v>09</v>
      </c>
      <c r="B240" t="str">
        <f>"09.0402"</f>
        <v>09.0402</v>
      </c>
      <c r="C240" t="s">
        <v>241</v>
      </c>
    </row>
    <row r="241" spans="1:3" x14ac:dyDescent="0.25">
      <c r="A241" t="str">
        <f t="shared" si="5"/>
        <v>09</v>
      </c>
      <c r="B241" t="str">
        <f>"09.0404"</f>
        <v>09.0404</v>
      </c>
      <c r="C241" t="s">
        <v>242</v>
      </c>
    </row>
    <row r="242" spans="1:3" x14ac:dyDescent="0.25">
      <c r="A242" t="str">
        <f t="shared" si="5"/>
        <v>09</v>
      </c>
      <c r="B242" t="str">
        <f>"09.0405"</f>
        <v>09.0405</v>
      </c>
      <c r="C242" t="s">
        <v>1842</v>
      </c>
    </row>
    <row r="243" spans="1:3" x14ac:dyDescent="0.25">
      <c r="A243" t="str">
        <f t="shared" si="5"/>
        <v>09</v>
      </c>
      <c r="B243" t="str">
        <f>"09.0406"</f>
        <v>09.0406</v>
      </c>
      <c r="C243" t="s">
        <v>1843</v>
      </c>
    </row>
    <row r="244" spans="1:3" x14ac:dyDescent="0.25">
      <c r="A244" t="str">
        <f t="shared" si="5"/>
        <v>09</v>
      </c>
      <c r="B244" t="str">
        <f>"09.0407"</f>
        <v>09.0407</v>
      </c>
      <c r="C244" t="s">
        <v>1844</v>
      </c>
    </row>
    <row r="245" spans="1:3" x14ac:dyDescent="0.25">
      <c r="A245" t="str">
        <f t="shared" si="5"/>
        <v>09</v>
      </c>
      <c r="B245" t="str">
        <f>"09.0499"</f>
        <v>09.0499</v>
      </c>
      <c r="C245" t="s">
        <v>243</v>
      </c>
    </row>
    <row r="246" spans="1:3" x14ac:dyDescent="0.25">
      <c r="A246" t="str">
        <f t="shared" si="5"/>
        <v>09</v>
      </c>
      <c r="B246" t="str">
        <f>"09.07"</f>
        <v>09.07</v>
      </c>
      <c r="C246" t="s">
        <v>244</v>
      </c>
    </row>
    <row r="247" spans="1:3" x14ac:dyDescent="0.25">
      <c r="A247" t="str">
        <f t="shared" si="5"/>
        <v>09</v>
      </c>
      <c r="B247" t="str">
        <f>"09.0701"</f>
        <v>09.0701</v>
      </c>
      <c r="C247" t="s">
        <v>245</v>
      </c>
    </row>
    <row r="248" spans="1:3" x14ac:dyDescent="0.25">
      <c r="A248" t="str">
        <f t="shared" si="5"/>
        <v>09</v>
      </c>
      <c r="B248" t="str">
        <f>"09.0702"</f>
        <v>09.0702</v>
      </c>
      <c r="C248" t="s">
        <v>246</v>
      </c>
    </row>
    <row r="249" spans="1:3" x14ac:dyDescent="0.25">
      <c r="A249" t="str">
        <f t="shared" si="5"/>
        <v>09</v>
      </c>
      <c r="B249" t="str">
        <f>"09.0799"</f>
        <v>09.0799</v>
      </c>
      <c r="C249" t="s">
        <v>247</v>
      </c>
    </row>
    <row r="250" spans="1:3" x14ac:dyDescent="0.25">
      <c r="A250" t="str">
        <f t="shared" si="5"/>
        <v>09</v>
      </c>
      <c r="B250" t="str">
        <f>"09.09"</f>
        <v>09.09</v>
      </c>
      <c r="C250" t="s">
        <v>248</v>
      </c>
    </row>
    <row r="251" spans="1:3" x14ac:dyDescent="0.25">
      <c r="A251" t="str">
        <f t="shared" si="5"/>
        <v>09</v>
      </c>
      <c r="B251" t="str">
        <f>"09.0900"</f>
        <v>09.0900</v>
      </c>
      <c r="C251" t="s">
        <v>248</v>
      </c>
    </row>
    <row r="252" spans="1:3" x14ac:dyDescent="0.25">
      <c r="A252" t="str">
        <f t="shared" si="5"/>
        <v>09</v>
      </c>
      <c r="B252" t="str">
        <f>"09.0901"</f>
        <v>09.0901</v>
      </c>
      <c r="C252" t="s">
        <v>249</v>
      </c>
    </row>
    <row r="253" spans="1:3" x14ac:dyDescent="0.25">
      <c r="A253" t="str">
        <f t="shared" si="5"/>
        <v>09</v>
      </c>
      <c r="B253" t="str">
        <f>"09.0902"</f>
        <v>09.0902</v>
      </c>
      <c r="C253" t="s">
        <v>250</v>
      </c>
    </row>
    <row r="254" spans="1:3" x14ac:dyDescent="0.25">
      <c r="A254" t="str">
        <f t="shared" si="5"/>
        <v>09</v>
      </c>
      <c r="B254" t="str">
        <f>"09.0903"</f>
        <v>09.0903</v>
      </c>
      <c r="C254" t="s">
        <v>251</v>
      </c>
    </row>
    <row r="255" spans="1:3" x14ac:dyDescent="0.25">
      <c r="A255" t="str">
        <f t="shared" si="5"/>
        <v>09</v>
      </c>
      <c r="B255" t="str">
        <f>"09.0904"</f>
        <v>09.0904</v>
      </c>
      <c r="C255" t="s">
        <v>252</v>
      </c>
    </row>
    <row r="256" spans="1:3" x14ac:dyDescent="0.25">
      <c r="A256" t="str">
        <f t="shared" si="5"/>
        <v>09</v>
      </c>
      <c r="B256" t="str">
        <f>"09.0905"</f>
        <v>09.0905</v>
      </c>
      <c r="C256" t="s">
        <v>253</v>
      </c>
    </row>
    <row r="257" spans="1:3" x14ac:dyDescent="0.25">
      <c r="A257" t="str">
        <f t="shared" si="5"/>
        <v>09</v>
      </c>
      <c r="B257" t="str">
        <f>"09.0906"</f>
        <v>09.0906</v>
      </c>
      <c r="C257" t="s">
        <v>254</v>
      </c>
    </row>
    <row r="258" spans="1:3" x14ac:dyDescent="0.25">
      <c r="A258" t="str">
        <f t="shared" si="5"/>
        <v>09</v>
      </c>
      <c r="B258" t="str">
        <f>"09.0907"</f>
        <v>09.0907</v>
      </c>
      <c r="C258" t="s">
        <v>255</v>
      </c>
    </row>
    <row r="259" spans="1:3" x14ac:dyDescent="0.25">
      <c r="A259" t="str">
        <f t="shared" si="5"/>
        <v>09</v>
      </c>
      <c r="B259" t="str">
        <f>"09.0908"</f>
        <v>09.0908</v>
      </c>
      <c r="C259" t="s">
        <v>256</v>
      </c>
    </row>
    <row r="260" spans="1:3" x14ac:dyDescent="0.25">
      <c r="A260" t="str">
        <f t="shared" si="5"/>
        <v>09</v>
      </c>
      <c r="B260" t="str">
        <f>"09.0909"</f>
        <v>09.0909</v>
      </c>
      <c r="C260" t="s">
        <v>1845</v>
      </c>
    </row>
    <row r="261" spans="1:3" x14ac:dyDescent="0.25">
      <c r="A261" t="str">
        <f t="shared" si="5"/>
        <v>09</v>
      </c>
      <c r="B261" t="str">
        <f>"09.0999"</f>
        <v>09.0999</v>
      </c>
      <c r="C261" t="s">
        <v>1846</v>
      </c>
    </row>
    <row r="262" spans="1:3" x14ac:dyDescent="0.25">
      <c r="A262" t="str">
        <f t="shared" si="5"/>
        <v>09</v>
      </c>
      <c r="B262" t="str">
        <f>"09.10"</f>
        <v>09.10</v>
      </c>
      <c r="C262" t="s">
        <v>257</v>
      </c>
    </row>
    <row r="263" spans="1:3" x14ac:dyDescent="0.25">
      <c r="A263" t="str">
        <f t="shared" si="5"/>
        <v>09</v>
      </c>
      <c r="B263" t="str">
        <f>"09.1001"</f>
        <v>09.1001</v>
      </c>
      <c r="C263" t="s">
        <v>257</v>
      </c>
    </row>
    <row r="264" spans="1:3" x14ac:dyDescent="0.25">
      <c r="A264" t="str">
        <f t="shared" si="5"/>
        <v>09</v>
      </c>
      <c r="B264" t="str">
        <f>"09.99"</f>
        <v>09.99</v>
      </c>
      <c r="C264" t="s">
        <v>258</v>
      </c>
    </row>
    <row r="265" spans="1:3" x14ac:dyDescent="0.25">
      <c r="A265" t="str">
        <f t="shared" si="5"/>
        <v>09</v>
      </c>
      <c r="B265" t="str">
        <f>"09.9999"</f>
        <v>09.9999</v>
      </c>
      <c r="C265" t="s">
        <v>258</v>
      </c>
    </row>
    <row r="266" spans="1:3" x14ac:dyDescent="0.25">
      <c r="A266" t="str">
        <f>"10"</f>
        <v>10</v>
      </c>
      <c r="B266" t="str">
        <f>"10"</f>
        <v>10</v>
      </c>
      <c r="C266" t="s">
        <v>259</v>
      </c>
    </row>
    <row r="267" spans="1:3" x14ac:dyDescent="0.25">
      <c r="A267" t="str">
        <f t="shared" ref="A267:A286" si="6">"10"</f>
        <v>10</v>
      </c>
      <c r="B267" t="str">
        <f>"10.01"</f>
        <v>10.01</v>
      </c>
      <c r="C267" t="s">
        <v>1847</v>
      </c>
    </row>
    <row r="268" spans="1:3" x14ac:dyDescent="0.25">
      <c r="A268" t="str">
        <f t="shared" si="6"/>
        <v>10</v>
      </c>
      <c r="B268" t="str">
        <f>"10.0105"</f>
        <v>10.0105</v>
      </c>
      <c r="C268" t="s">
        <v>260</v>
      </c>
    </row>
    <row r="269" spans="1:3" x14ac:dyDescent="0.25">
      <c r="A269" t="str">
        <f t="shared" si="6"/>
        <v>10</v>
      </c>
      <c r="B269" t="str">
        <f>"10.02"</f>
        <v>10.02</v>
      </c>
      <c r="C269" t="s">
        <v>261</v>
      </c>
    </row>
    <row r="270" spans="1:3" x14ac:dyDescent="0.25">
      <c r="A270" t="str">
        <f t="shared" si="6"/>
        <v>10</v>
      </c>
      <c r="B270" t="str">
        <f>"10.0201"</f>
        <v>10.0201</v>
      </c>
      <c r="C270" t="s">
        <v>1848</v>
      </c>
    </row>
    <row r="271" spans="1:3" x14ac:dyDescent="0.25">
      <c r="A271" t="str">
        <f t="shared" si="6"/>
        <v>10</v>
      </c>
      <c r="B271" t="str">
        <f>"10.0202"</f>
        <v>10.0202</v>
      </c>
      <c r="C271" t="s">
        <v>262</v>
      </c>
    </row>
    <row r="272" spans="1:3" x14ac:dyDescent="0.25">
      <c r="A272" t="str">
        <f t="shared" si="6"/>
        <v>10</v>
      </c>
      <c r="B272" t="str">
        <f>"10.0203"</f>
        <v>10.0203</v>
      </c>
      <c r="C272" t="s">
        <v>263</v>
      </c>
    </row>
    <row r="273" spans="1:3" x14ac:dyDescent="0.25">
      <c r="A273" t="str">
        <f t="shared" si="6"/>
        <v>10</v>
      </c>
      <c r="B273" t="str">
        <f>"10.0204"</f>
        <v>10.0204</v>
      </c>
      <c r="C273" t="s">
        <v>1849</v>
      </c>
    </row>
    <row r="274" spans="1:3" x14ac:dyDescent="0.25">
      <c r="A274" t="str">
        <f t="shared" si="6"/>
        <v>10</v>
      </c>
      <c r="B274" t="str">
        <f>"10.0299"</f>
        <v>10.0299</v>
      </c>
      <c r="C274" t="s">
        <v>264</v>
      </c>
    </row>
    <row r="275" spans="1:3" x14ac:dyDescent="0.25">
      <c r="A275" t="str">
        <f t="shared" si="6"/>
        <v>10</v>
      </c>
      <c r="B275" t="str">
        <f>"10.03"</f>
        <v>10.03</v>
      </c>
      <c r="C275" t="s">
        <v>265</v>
      </c>
    </row>
    <row r="276" spans="1:3" x14ac:dyDescent="0.25">
      <c r="A276" t="str">
        <f t="shared" si="6"/>
        <v>10</v>
      </c>
      <c r="B276" t="str">
        <f>"10.0301"</f>
        <v>10.0301</v>
      </c>
      <c r="C276" t="s">
        <v>266</v>
      </c>
    </row>
    <row r="277" spans="1:3" x14ac:dyDescent="0.25">
      <c r="A277" t="str">
        <f t="shared" si="6"/>
        <v>10</v>
      </c>
      <c r="B277" t="str">
        <f>"10.0302"</f>
        <v>10.0302</v>
      </c>
      <c r="C277" t="s">
        <v>267</v>
      </c>
    </row>
    <row r="278" spans="1:3" x14ac:dyDescent="0.25">
      <c r="A278" t="str">
        <f t="shared" si="6"/>
        <v>10</v>
      </c>
      <c r="B278" t="str">
        <f>"10.0303"</f>
        <v>10.0303</v>
      </c>
      <c r="C278" t="s">
        <v>268</v>
      </c>
    </row>
    <row r="279" spans="1:3" x14ac:dyDescent="0.25">
      <c r="A279" t="str">
        <f t="shared" si="6"/>
        <v>10</v>
      </c>
      <c r="B279" t="str">
        <f>"10.0304"</f>
        <v>10.0304</v>
      </c>
      <c r="C279" t="s">
        <v>1850</v>
      </c>
    </row>
    <row r="280" spans="1:3" x14ac:dyDescent="0.25">
      <c r="A280" t="str">
        <f t="shared" si="6"/>
        <v>10</v>
      </c>
      <c r="B280" t="str">
        <f>"10.0305"</f>
        <v>10.0305</v>
      </c>
      <c r="C280" t="s">
        <v>269</v>
      </c>
    </row>
    <row r="281" spans="1:3" x14ac:dyDescent="0.25">
      <c r="A281" t="str">
        <f t="shared" si="6"/>
        <v>10</v>
      </c>
      <c r="B281" t="str">
        <f>"10.0306"</f>
        <v>10.0306</v>
      </c>
      <c r="C281" t="s">
        <v>270</v>
      </c>
    </row>
    <row r="282" spans="1:3" x14ac:dyDescent="0.25">
      <c r="A282" t="str">
        <f t="shared" si="6"/>
        <v>10</v>
      </c>
      <c r="B282" t="str">
        <f>"10.0307"</f>
        <v>10.0307</v>
      </c>
      <c r="C282" t="s">
        <v>271</v>
      </c>
    </row>
    <row r="283" spans="1:3" x14ac:dyDescent="0.25">
      <c r="A283" t="str">
        <f t="shared" si="6"/>
        <v>10</v>
      </c>
      <c r="B283" t="str">
        <f>"10.0308"</f>
        <v>10.0308</v>
      </c>
      <c r="C283" t="s">
        <v>272</v>
      </c>
    </row>
    <row r="284" spans="1:3" x14ac:dyDescent="0.25">
      <c r="A284" t="str">
        <f t="shared" si="6"/>
        <v>10</v>
      </c>
      <c r="B284" t="str">
        <f>"10.0399"</f>
        <v>10.0399</v>
      </c>
      <c r="C284" t="s">
        <v>273</v>
      </c>
    </row>
    <row r="285" spans="1:3" x14ac:dyDescent="0.25">
      <c r="A285" t="str">
        <f t="shared" si="6"/>
        <v>10</v>
      </c>
      <c r="B285" t="str">
        <f>"10.99"</f>
        <v>10.99</v>
      </c>
      <c r="C285" t="s">
        <v>274</v>
      </c>
    </row>
    <row r="286" spans="1:3" x14ac:dyDescent="0.25">
      <c r="A286" t="str">
        <f t="shared" si="6"/>
        <v>10</v>
      </c>
      <c r="B286" t="str">
        <f>"10.9999"</f>
        <v>10.9999</v>
      </c>
      <c r="C286" t="s">
        <v>274</v>
      </c>
    </row>
    <row r="287" spans="1:3" x14ac:dyDescent="0.25">
      <c r="A287" t="str">
        <f>"11"</f>
        <v>11</v>
      </c>
      <c r="B287" t="str">
        <f>"11"</f>
        <v>11</v>
      </c>
      <c r="C287" t="s">
        <v>275</v>
      </c>
    </row>
    <row r="288" spans="1:3" x14ac:dyDescent="0.25">
      <c r="A288" t="str">
        <f t="shared" ref="A288:A333" si="7">"11"</f>
        <v>11</v>
      </c>
      <c r="B288" t="str">
        <f>"11.01"</f>
        <v>11.01</v>
      </c>
      <c r="C288" t="s">
        <v>276</v>
      </c>
    </row>
    <row r="289" spans="1:3" x14ac:dyDescent="0.25">
      <c r="A289" t="str">
        <f t="shared" si="7"/>
        <v>11</v>
      </c>
      <c r="B289" t="str">
        <f>"11.0101"</f>
        <v>11.0101</v>
      </c>
      <c r="C289" t="s">
        <v>276</v>
      </c>
    </row>
    <row r="290" spans="1:3" x14ac:dyDescent="0.25">
      <c r="A290" t="str">
        <f t="shared" si="7"/>
        <v>11</v>
      </c>
      <c r="B290" t="str">
        <f>"11.0102"</f>
        <v>11.0102</v>
      </c>
      <c r="C290" t="s">
        <v>277</v>
      </c>
    </row>
    <row r="291" spans="1:3" x14ac:dyDescent="0.25">
      <c r="A291" t="str">
        <f t="shared" si="7"/>
        <v>11</v>
      </c>
      <c r="B291" t="str">
        <f>"11.0103"</f>
        <v>11.0103</v>
      </c>
      <c r="C291" t="s">
        <v>278</v>
      </c>
    </row>
    <row r="292" spans="1:3" x14ac:dyDescent="0.25">
      <c r="A292" t="str">
        <f t="shared" si="7"/>
        <v>11</v>
      </c>
      <c r="B292" t="str">
        <f>"11.0104"</f>
        <v>11.0104</v>
      </c>
      <c r="C292" t="s">
        <v>279</v>
      </c>
    </row>
    <row r="293" spans="1:3" x14ac:dyDescent="0.25">
      <c r="A293" t="str">
        <f t="shared" si="7"/>
        <v>11</v>
      </c>
      <c r="B293" t="str">
        <f>"11.0105"</f>
        <v>11.0105</v>
      </c>
      <c r="C293" t="s">
        <v>1851</v>
      </c>
    </row>
    <row r="294" spans="1:3" x14ac:dyDescent="0.25">
      <c r="A294" t="str">
        <f t="shared" si="7"/>
        <v>11</v>
      </c>
      <c r="B294" t="str">
        <f>"11.0199"</f>
        <v>11.0199</v>
      </c>
      <c r="C294" t="s">
        <v>280</v>
      </c>
    </row>
    <row r="295" spans="1:3" x14ac:dyDescent="0.25">
      <c r="A295" t="str">
        <f t="shared" si="7"/>
        <v>11</v>
      </c>
      <c r="B295" t="str">
        <f>"11.02"</f>
        <v>11.02</v>
      </c>
      <c r="C295" t="s">
        <v>281</v>
      </c>
    </row>
    <row r="296" spans="1:3" x14ac:dyDescent="0.25">
      <c r="A296" t="str">
        <f t="shared" si="7"/>
        <v>11</v>
      </c>
      <c r="B296" t="str">
        <f>"11.0201"</f>
        <v>11.0201</v>
      </c>
      <c r="C296" t="s">
        <v>282</v>
      </c>
    </row>
    <row r="297" spans="1:3" x14ac:dyDescent="0.25">
      <c r="A297" t="str">
        <f t="shared" si="7"/>
        <v>11</v>
      </c>
      <c r="B297" t="str">
        <f>"11.0202"</f>
        <v>11.0202</v>
      </c>
      <c r="C297" t="s">
        <v>283</v>
      </c>
    </row>
    <row r="298" spans="1:3" x14ac:dyDescent="0.25">
      <c r="A298" t="str">
        <f t="shared" si="7"/>
        <v>11</v>
      </c>
      <c r="B298" t="str">
        <f>"11.0203"</f>
        <v>11.0203</v>
      </c>
      <c r="C298" t="s">
        <v>284</v>
      </c>
    </row>
    <row r="299" spans="1:3" x14ac:dyDescent="0.25">
      <c r="A299" t="str">
        <f t="shared" si="7"/>
        <v>11</v>
      </c>
      <c r="B299" t="str">
        <f>"11.0204"</f>
        <v>11.0204</v>
      </c>
      <c r="C299" t="s">
        <v>1852</v>
      </c>
    </row>
    <row r="300" spans="1:3" x14ac:dyDescent="0.25">
      <c r="A300" t="str">
        <f t="shared" si="7"/>
        <v>11</v>
      </c>
      <c r="B300" t="str">
        <f>"11.0205"</f>
        <v>11.0205</v>
      </c>
      <c r="C300" t="s">
        <v>1853</v>
      </c>
    </row>
    <row r="301" spans="1:3" x14ac:dyDescent="0.25">
      <c r="A301" t="str">
        <f t="shared" si="7"/>
        <v>11</v>
      </c>
      <c r="B301" t="str">
        <f>"11.0299"</f>
        <v>11.0299</v>
      </c>
      <c r="C301" t="s">
        <v>285</v>
      </c>
    </row>
    <row r="302" spans="1:3" x14ac:dyDescent="0.25">
      <c r="A302" t="str">
        <f t="shared" si="7"/>
        <v>11</v>
      </c>
      <c r="B302" t="str">
        <f>"11.03"</f>
        <v>11.03</v>
      </c>
      <c r="C302" t="s">
        <v>286</v>
      </c>
    </row>
    <row r="303" spans="1:3" x14ac:dyDescent="0.25">
      <c r="A303" t="str">
        <f t="shared" si="7"/>
        <v>11</v>
      </c>
      <c r="B303" t="str">
        <f>"11.0301"</f>
        <v>11.0301</v>
      </c>
      <c r="C303" t="s">
        <v>1854</v>
      </c>
    </row>
    <row r="304" spans="1:3" x14ac:dyDescent="0.25">
      <c r="A304" t="str">
        <f t="shared" si="7"/>
        <v>11</v>
      </c>
      <c r="B304" t="str">
        <f>"11.04"</f>
        <v>11.04</v>
      </c>
      <c r="C304" t="s">
        <v>287</v>
      </c>
    </row>
    <row r="305" spans="1:3" x14ac:dyDescent="0.25">
      <c r="A305" t="str">
        <f t="shared" si="7"/>
        <v>11</v>
      </c>
      <c r="B305" t="str">
        <f>"11.0401"</f>
        <v>11.0401</v>
      </c>
      <c r="C305" t="s">
        <v>287</v>
      </c>
    </row>
    <row r="306" spans="1:3" x14ac:dyDescent="0.25">
      <c r="A306" t="str">
        <f t="shared" si="7"/>
        <v>11</v>
      </c>
      <c r="B306" t="str">
        <f>"11.05"</f>
        <v>11.05</v>
      </c>
      <c r="C306" t="s">
        <v>288</v>
      </c>
    </row>
    <row r="307" spans="1:3" x14ac:dyDescent="0.25">
      <c r="A307" t="str">
        <f t="shared" si="7"/>
        <v>11</v>
      </c>
      <c r="B307" t="str">
        <f>"11.0501"</f>
        <v>11.0501</v>
      </c>
      <c r="C307" t="s">
        <v>1855</v>
      </c>
    </row>
    <row r="308" spans="1:3" x14ac:dyDescent="0.25">
      <c r="A308" t="str">
        <f t="shared" si="7"/>
        <v>11</v>
      </c>
      <c r="B308" t="str">
        <f>"11.06"</f>
        <v>11.06</v>
      </c>
      <c r="C308" t="s">
        <v>289</v>
      </c>
    </row>
    <row r="309" spans="1:3" x14ac:dyDescent="0.25">
      <c r="A309" t="str">
        <f t="shared" si="7"/>
        <v>11</v>
      </c>
      <c r="B309" t="str">
        <f>"11.0601"</f>
        <v>11.0601</v>
      </c>
      <c r="C309" t="s">
        <v>290</v>
      </c>
    </row>
    <row r="310" spans="1:3" x14ac:dyDescent="0.25">
      <c r="A310" t="str">
        <f t="shared" si="7"/>
        <v>11</v>
      </c>
      <c r="B310" t="str">
        <f>"11.0602"</f>
        <v>11.0602</v>
      </c>
      <c r="C310" t="s">
        <v>291</v>
      </c>
    </row>
    <row r="311" spans="1:3" x14ac:dyDescent="0.25">
      <c r="A311" t="str">
        <f t="shared" si="7"/>
        <v>11</v>
      </c>
      <c r="B311" t="str">
        <f>"11.0699"</f>
        <v>11.0699</v>
      </c>
      <c r="C311" t="s">
        <v>292</v>
      </c>
    </row>
    <row r="312" spans="1:3" x14ac:dyDescent="0.25">
      <c r="A312" t="str">
        <f t="shared" si="7"/>
        <v>11</v>
      </c>
      <c r="B312" t="str">
        <f>"11.07"</f>
        <v>11.07</v>
      </c>
      <c r="C312" t="s">
        <v>293</v>
      </c>
    </row>
    <row r="313" spans="1:3" x14ac:dyDescent="0.25">
      <c r="A313" t="str">
        <f t="shared" si="7"/>
        <v>11</v>
      </c>
      <c r="B313" t="str">
        <f>"11.0701"</f>
        <v>11.0701</v>
      </c>
      <c r="C313" t="s">
        <v>293</v>
      </c>
    </row>
    <row r="314" spans="1:3" x14ac:dyDescent="0.25">
      <c r="A314" t="str">
        <f t="shared" si="7"/>
        <v>11</v>
      </c>
      <c r="B314" t="str">
        <f>"11.08"</f>
        <v>11.08</v>
      </c>
      <c r="C314" t="s">
        <v>294</v>
      </c>
    </row>
    <row r="315" spans="1:3" x14ac:dyDescent="0.25">
      <c r="A315" t="str">
        <f t="shared" si="7"/>
        <v>11</v>
      </c>
      <c r="B315" t="str">
        <f>"11.0801"</f>
        <v>11.0801</v>
      </c>
      <c r="C315" t="s">
        <v>295</v>
      </c>
    </row>
    <row r="316" spans="1:3" x14ac:dyDescent="0.25">
      <c r="A316" t="str">
        <f t="shared" si="7"/>
        <v>11</v>
      </c>
      <c r="B316" t="str">
        <f>"11.0802"</f>
        <v>11.0802</v>
      </c>
      <c r="C316" t="s">
        <v>296</v>
      </c>
    </row>
    <row r="317" spans="1:3" x14ac:dyDescent="0.25">
      <c r="A317" t="str">
        <f t="shared" si="7"/>
        <v>11</v>
      </c>
      <c r="B317" t="str">
        <f>"11.0803"</f>
        <v>11.0803</v>
      </c>
      <c r="C317" t="s">
        <v>297</v>
      </c>
    </row>
    <row r="318" spans="1:3" x14ac:dyDescent="0.25">
      <c r="A318" t="str">
        <f t="shared" si="7"/>
        <v>11</v>
      </c>
      <c r="B318" t="str">
        <f>"11.0804"</f>
        <v>11.0804</v>
      </c>
      <c r="C318" t="s">
        <v>298</v>
      </c>
    </row>
    <row r="319" spans="1:3" x14ac:dyDescent="0.25">
      <c r="A319" t="str">
        <f t="shared" si="7"/>
        <v>11</v>
      </c>
      <c r="B319" t="str">
        <f>"11.0899"</f>
        <v>11.0899</v>
      </c>
      <c r="C319" t="s">
        <v>299</v>
      </c>
    </row>
    <row r="320" spans="1:3" x14ac:dyDescent="0.25">
      <c r="A320" t="str">
        <f t="shared" si="7"/>
        <v>11</v>
      </c>
      <c r="B320" t="str">
        <f>"11.09"</f>
        <v>11.09</v>
      </c>
      <c r="C320" t="s">
        <v>300</v>
      </c>
    </row>
    <row r="321" spans="1:3" x14ac:dyDescent="0.25">
      <c r="A321" t="str">
        <f t="shared" si="7"/>
        <v>11</v>
      </c>
      <c r="B321" t="str">
        <f>"11.0901"</f>
        <v>11.0901</v>
      </c>
      <c r="C321" t="s">
        <v>300</v>
      </c>
    </row>
    <row r="322" spans="1:3" x14ac:dyDescent="0.25">
      <c r="A322" t="str">
        <f t="shared" si="7"/>
        <v>11</v>
      </c>
      <c r="B322" t="str">
        <f>"11.0902"</f>
        <v>11.0902</v>
      </c>
      <c r="C322" t="s">
        <v>1856</v>
      </c>
    </row>
    <row r="323" spans="1:3" x14ac:dyDescent="0.25">
      <c r="A323" t="str">
        <f t="shared" si="7"/>
        <v>11</v>
      </c>
      <c r="B323" t="str">
        <f>"11.0999"</f>
        <v>11.0999</v>
      </c>
      <c r="C323" t="s">
        <v>1857</v>
      </c>
    </row>
    <row r="324" spans="1:3" x14ac:dyDescent="0.25">
      <c r="A324" t="str">
        <f t="shared" si="7"/>
        <v>11</v>
      </c>
      <c r="B324" t="str">
        <f>"11.10"</f>
        <v>11.10</v>
      </c>
      <c r="C324" t="s">
        <v>301</v>
      </c>
    </row>
    <row r="325" spans="1:3" x14ac:dyDescent="0.25">
      <c r="A325" t="str">
        <f t="shared" si="7"/>
        <v>11</v>
      </c>
      <c r="B325" t="str">
        <f>"11.1001"</f>
        <v>11.1001</v>
      </c>
      <c r="C325" t="s">
        <v>302</v>
      </c>
    </row>
    <row r="326" spans="1:3" x14ac:dyDescent="0.25">
      <c r="A326" t="str">
        <f t="shared" si="7"/>
        <v>11</v>
      </c>
      <c r="B326" t="str">
        <f>"11.1002"</f>
        <v>11.1002</v>
      </c>
      <c r="C326" t="s">
        <v>303</v>
      </c>
    </row>
    <row r="327" spans="1:3" x14ac:dyDescent="0.25">
      <c r="A327" t="str">
        <f t="shared" si="7"/>
        <v>11</v>
      </c>
      <c r="B327" t="str">
        <f>"11.1003"</f>
        <v>11.1003</v>
      </c>
      <c r="C327" t="s">
        <v>1858</v>
      </c>
    </row>
    <row r="328" spans="1:3" x14ac:dyDescent="0.25">
      <c r="A328" t="str">
        <f t="shared" si="7"/>
        <v>11</v>
      </c>
      <c r="B328" t="str">
        <f>"11.1004"</f>
        <v>11.1004</v>
      </c>
      <c r="C328" t="s">
        <v>304</v>
      </c>
    </row>
    <row r="329" spans="1:3" x14ac:dyDescent="0.25">
      <c r="A329" t="str">
        <f t="shared" si="7"/>
        <v>11</v>
      </c>
      <c r="B329" t="str">
        <f>"11.1005"</f>
        <v>11.1005</v>
      </c>
      <c r="C329" t="s">
        <v>305</v>
      </c>
    </row>
    <row r="330" spans="1:3" x14ac:dyDescent="0.25">
      <c r="A330" t="str">
        <f t="shared" si="7"/>
        <v>11</v>
      </c>
      <c r="B330" t="str">
        <f>"11.1006"</f>
        <v>11.1006</v>
      </c>
      <c r="C330" t="s">
        <v>306</v>
      </c>
    </row>
    <row r="331" spans="1:3" x14ac:dyDescent="0.25">
      <c r="A331" t="str">
        <f t="shared" si="7"/>
        <v>11</v>
      </c>
      <c r="B331" t="str">
        <f>"11.1099"</f>
        <v>11.1099</v>
      </c>
      <c r="C331" t="s">
        <v>307</v>
      </c>
    </row>
    <row r="332" spans="1:3" x14ac:dyDescent="0.25">
      <c r="A332" t="str">
        <f t="shared" si="7"/>
        <v>11</v>
      </c>
      <c r="B332" t="str">
        <f>"11.99"</f>
        <v>11.99</v>
      </c>
      <c r="C332" t="s">
        <v>308</v>
      </c>
    </row>
    <row r="333" spans="1:3" x14ac:dyDescent="0.25">
      <c r="A333" t="str">
        <f t="shared" si="7"/>
        <v>11</v>
      </c>
      <c r="B333" t="str">
        <f>"11.9999"</f>
        <v>11.9999</v>
      </c>
      <c r="C333" t="s">
        <v>308</v>
      </c>
    </row>
    <row r="334" spans="1:3" x14ac:dyDescent="0.25">
      <c r="A334" t="str">
        <f>"12"</f>
        <v>12</v>
      </c>
      <c r="B334" t="str">
        <f>"12"</f>
        <v>12</v>
      </c>
      <c r="C334" t="s">
        <v>1859</v>
      </c>
    </row>
    <row r="335" spans="1:3" x14ac:dyDescent="0.25">
      <c r="A335" t="str">
        <f t="shared" ref="A335:A373" si="8">"12"</f>
        <v>12</v>
      </c>
      <c r="B335" t="str">
        <f>"12.03"</f>
        <v>12.03</v>
      </c>
      <c r="C335" t="s">
        <v>309</v>
      </c>
    </row>
    <row r="336" spans="1:3" x14ac:dyDescent="0.25">
      <c r="A336" t="str">
        <f t="shared" si="8"/>
        <v>12</v>
      </c>
      <c r="B336" t="str">
        <f>"12.0301"</f>
        <v>12.0301</v>
      </c>
      <c r="C336" t="s">
        <v>310</v>
      </c>
    </row>
    <row r="337" spans="1:3" x14ac:dyDescent="0.25">
      <c r="A337" t="str">
        <f t="shared" si="8"/>
        <v>12</v>
      </c>
      <c r="B337" t="str">
        <f>"12.0302"</f>
        <v>12.0302</v>
      </c>
      <c r="C337" t="s">
        <v>311</v>
      </c>
    </row>
    <row r="338" spans="1:3" x14ac:dyDescent="0.25">
      <c r="A338" t="str">
        <f t="shared" si="8"/>
        <v>12</v>
      </c>
      <c r="B338" t="str">
        <f>"12.0303"</f>
        <v>12.0303</v>
      </c>
      <c r="C338" t="s">
        <v>312</v>
      </c>
    </row>
    <row r="339" spans="1:3" x14ac:dyDescent="0.25">
      <c r="A339" t="str">
        <f t="shared" si="8"/>
        <v>12</v>
      </c>
      <c r="B339" t="str">
        <f>"12.0399"</f>
        <v>12.0399</v>
      </c>
      <c r="C339" t="s">
        <v>313</v>
      </c>
    </row>
    <row r="340" spans="1:3" x14ac:dyDescent="0.25">
      <c r="A340" t="str">
        <f t="shared" si="8"/>
        <v>12</v>
      </c>
      <c r="B340" t="str">
        <f>"12.04"</f>
        <v>12.04</v>
      </c>
      <c r="C340" t="s">
        <v>314</v>
      </c>
    </row>
    <row r="341" spans="1:3" x14ac:dyDescent="0.25">
      <c r="A341" t="str">
        <f t="shared" si="8"/>
        <v>12</v>
      </c>
      <c r="B341" t="str">
        <f>"12.0401"</f>
        <v>12.0401</v>
      </c>
      <c r="C341" t="s">
        <v>315</v>
      </c>
    </row>
    <row r="342" spans="1:3" x14ac:dyDescent="0.25">
      <c r="A342" t="str">
        <f t="shared" si="8"/>
        <v>12</v>
      </c>
      <c r="B342" t="str">
        <f>"12.0402"</f>
        <v>12.0402</v>
      </c>
      <c r="C342" t="s">
        <v>316</v>
      </c>
    </row>
    <row r="343" spans="1:3" x14ac:dyDescent="0.25">
      <c r="A343" t="str">
        <f t="shared" si="8"/>
        <v>12</v>
      </c>
      <c r="B343" t="str">
        <f>"12.0404"</f>
        <v>12.0404</v>
      </c>
      <c r="C343" t="s">
        <v>317</v>
      </c>
    </row>
    <row r="344" spans="1:3" x14ac:dyDescent="0.25">
      <c r="A344" t="str">
        <f t="shared" si="8"/>
        <v>12</v>
      </c>
      <c r="B344" t="str">
        <f>"12.0406"</f>
        <v>12.0406</v>
      </c>
      <c r="C344" t="s">
        <v>318</v>
      </c>
    </row>
    <row r="345" spans="1:3" x14ac:dyDescent="0.25">
      <c r="A345" t="str">
        <f t="shared" si="8"/>
        <v>12</v>
      </c>
      <c r="B345" t="str">
        <f>"12.0407"</f>
        <v>12.0407</v>
      </c>
      <c r="C345" t="s">
        <v>319</v>
      </c>
    </row>
    <row r="346" spans="1:3" x14ac:dyDescent="0.25">
      <c r="A346" t="str">
        <f t="shared" si="8"/>
        <v>12</v>
      </c>
      <c r="B346" t="str">
        <f>"12.0408"</f>
        <v>12.0408</v>
      </c>
      <c r="C346" t="s">
        <v>320</v>
      </c>
    </row>
    <row r="347" spans="1:3" x14ac:dyDescent="0.25">
      <c r="A347" t="str">
        <f t="shared" si="8"/>
        <v>12</v>
      </c>
      <c r="B347" t="str">
        <f>"12.0409"</f>
        <v>12.0409</v>
      </c>
      <c r="C347" t="s">
        <v>321</v>
      </c>
    </row>
    <row r="348" spans="1:3" x14ac:dyDescent="0.25">
      <c r="A348" t="str">
        <f t="shared" si="8"/>
        <v>12</v>
      </c>
      <c r="B348" t="str">
        <f>"12.0410"</f>
        <v>12.0410</v>
      </c>
      <c r="C348" t="s">
        <v>322</v>
      </c>
    </row>
    <row r="349" spans="1:3" x14ac:dyDescent="0.25">
      <c r="A349" t="str">
        <f t="shared" si="8"/>
        <v>12</v>
      </c>
      <c r="B349" t="str">
        <f>"12.0411"</f>
        <v>12.0411</v>
      </c>
      <c r="C349" t="s">
        <v>323</v>
      </c>
    </row>
    <row r="350" spans="1:3" x14ac:dyDescent="0.25">
      <c r="A350" t="str">
        <f t="shared" si="8"/>
        <v>12</v>
      </c>
      <c r="B350" t="str">
        <f>"12.0412"</f>
        <v>12.0412</v>
      </c>
      <c r="C350" t="s">
        <v>324</v>
      </c>
    </row>
    <row r="351" spans="1:3" x14ac:dyDescent="0.25">
      <c r="A351" t="str">
        <f t="shared" si="8"/>
        <v>12</v>
      </c>
      <c r="B351" t="str">
        <f>"12.0413"</f>
        <v>12.0413</v>
      </c>
      <c r="C351" t="s">
        <v>325</v>
      </c>
    </row>
    <row r="352" spans="1:3" x14ac:dyDescent="0.25">
      <c r="A352" t="str">
        <f t="shared" si="8"/>
        <v>12</v>
      </c>
      <c r="B352" t="str">
        <f>"12.0414"</f>
        <v>12.0414</v>
      </c>
      <c r="C352" t="s">
        <v>326</v>
      </c>
    </row>
    <row r="353" spans="1:3" x14ac:dyDescent="0.25">
      <c r="A353" t="str">
        <f t="shared" si="8"/>
        <v>12</v>
      </c>
      <c r="B353" t="str">
        <f>"12.0499"</f>
        <v>12.0499</v>
      </c>
      <c r="C353" t="s">
        <v>327</v>
      </c>
    </row>
    <row r="354" spans="1:3" x14ac:dyDescent="0.25">
      <c r="A354" t="str">
        <f t="shared" si="8"/>
        <v>12</v>
      </c>
      <c r="B354" t="str">
        <f>"12.05"</f>
        <v>12.05</v>
      </c>
      <c r="C354" t="s">
        <v>328</v>
      </c>
    </row>
    <row r="355" spans="1:3" x14ac:dyDescent="0.25">
      <c r="A355" t="str">
        <f t="shared" si="8"/>
        <v>12</v>
      </c>
      <c r="B355" t="str">
        <f>"12.0500"</f>
        <v>12.0500</v>
      </c>
      <c r="C355" t="s">
        <v>329</v>
      </c>
    </row>
    <row r="356" spans="1:3" x14ac:dyDescent="0.25">
      <c r="A356" t="str">
        <f t="shared" si="8"/>
        <v>12</v>
      </c>
      <c r="B356" t="str">
        <f>"12.0501"</f>
        <v>12.0501</v>
      </c>
      <c r="C356" t="s">
        <v>330</v>
      </c>
    </row>
    <row r="357" spans="1:3" x14ac:dyDescent="0.25">
      <c r="A357" t="str">
        <f t="shared" si="8"/>
        <v>12</v>
      </c>
      <c r="B357" t="str">
        <f>"12.0502"</f>
        <v>12.0502</v>
      </c>
      <c r="C357" t="s">
        <v>331</v>
      </c>
    </row>
    <row r="358" spans="1:3" x14ac:dyDescent="0.25">
      <c r="A358" t="str">
        <f t="shared" si="8"/>
        <v>12</v>
      </c>
      <c r="B358" t="str">
        <f>"12.0503"</f>
        <v>12.0503</v>
      </c>
      <c r="C358" t="s">
        <v>332</v>
      </c>
    </row>
    <row r="359" spans="1:3" x14ac:dyDescent="0.25">
      <c r="A359" t="str">
        <f t="shared" si="8"/>
        <v>12</v>
      </c>
      <c r="B359" t="str">
        <f>"12.0504"</f>
        <v>12.0504</v>
      </c>
      <c r="C359" t="s">
        <v>333</v>
      </c>
    </row>
    <row r="360" spans="1:3" x14ac:dyDescent="0.25">
      <c r="A360" t="str">
        <f t="shared" si="8"/>
        <v>12</v>
      </c>
      <c r="B360" t="str">
        <f>"12.0505"</f>
        <v>12.0505</v>
      </c>
      <c r="C360" t="s">
        <v>334</v>
      </c>
    </row>
    <row r="361" spans="1:3" x14ac:dyDescent="0.25">
      <c r="A361" t="str">
        <f t="shared" si="8"/>
        <v>12</v>
      </c>
      <c r="B361" t="str">
        <f>"12.0506"</f>
        <v>12.0506</v>
      </c>
      <c r="C361" t="s">
        <v>335</v>
      </c>
    </row>
    <row r="362" spans="1:3" x14ac:dyDescent="0.25">
      <c r="A362" t="str">
        <f t="shared" si="8"/>
        <v>12</v>
      </c>
      <c r="B362" t="str">
        <f>"12.0507"</f>
        <v>12.0507</v>
      </c>
      <c r="C362" t="s">
        <v>336</v>
      </c>
    </row>
    <row r="363" spans="1:3" x14ac:dyDescent="0.25">
      <c r="A363" t="str">
        <f t="shared" si="8"/>
        <v>12</v>
      </c>
      <c r="B363" t="str">
        <f>"12.0508"</f>
        <v>12.0508</v>
      </c>
      <c r="C363" t="s">
        <v>337</v>
      </c>
    </row>
    <row r="364" spans="1:3" x14ac:dyDescent="0.25">
      <c r="A364" t="str">
        <f t="shared" si="8"/>
        <v>12</v>
      </c>
      <c r="B364" t="str">
        <f>"12.0509"</f>
        <v>12.0509</v>
      </c>
      <c r="C364" t="s">
        <v>338</v>
      </c>
    </row>
    <row r="365" spans="1:3" x14ac:dyDescent="0.25">
      <c r="A365" t="str">
        <f t="shared" si="8"/>
        <v>12</v>
      </c>
      <c r="B365" t="str">
        <f>"12.0510"</f>
        <v>12.0510</v>
      </c>
      <c r="C365" t="s">
        <v>339</v>
      </c>
    </row>
    <row r="366" spans="1:3" x14ac:dyDescent="0.25">
      <c r="A366" t="str">
        <f t="shared" si="8"/>
        <v>12</v>
      </c>
      <c r="B366" t="str">
        <f>"12.0580"</f>
        <v>12.0580</v>
      </c>
      <c r="C366" t="s">
        <v>1797</v>
      </c>
    </row>
    <row r="367" spans="1:3" x14ac:dyDescent="0.25">
      <c r="A367" t="str">
        <f t="shared" si="8"/>
        <v>12</v>
      </c>
      <c r="B367" t="str">
        <f>"12.0599"</f>
        <v>12.0599</v>
      </c>
      <c r="C367" t="s">
        <v>340</v>
      </c>
    </row>
    <row r="368" spans="1:3" x14ac:dyDescent="0.25">
      <c r="A368" t="str">
        <f t="shared" si="8"/>
        <v>12</v>
      </c>
      <c r="B368" t="str">
        <f>"12.06"</f>
        <v>12.06</v>
      </c>
      <c r="C368" t="s">
        <v>1860</v>
      </c>
    </row>
    <row r="369" spans="1:3" x14ac:dyDescent="0.25">
      <c r="A369" t="str">
        <f t="shared" si="8"/>
        <v>12</v>
      </c>
      <c r="B369" t="str">
        <f>"12.0601"</f>
        <v>12.0601</v>
      </c>
      <c r="C369" t="s">
        <v>1861</v>
      </c>
    </row>
    <row r="370" spans="1:3" x14ac:dyDescent="0.25">
      <c r="A370" t="str">
        <f t="shared" si="8"/>
        <v>12</v>
      </c>
      <c r="B370" t="str">
        <f>"12.0602"</f>
        <v>12.0602</v>
      </c>
      <c r="C370" t="s">
        <v>1862</v>
      </c>
    </row>
    <row r="371" spans="1:3" x14ac:dyDescent="0.25">
      <c r="A371" t="str">
        <f t="shared" si="8"/>
        <v>12</v>
      </c>
      <c r="B371" t="str">
        <f>"12.0699"</f>
        <v>12.0699</v>
      </c>
      <c r="C371" t="s">
        <v>1863</v>
      </c>
    </row>
    <row r="372" spans="1:3" x14ac:dyDescent="0.25">
      <c r="A372" t="str">
        <f t="shared" si="8"/>
        <v>12</v>
      </c>
      <c r="B372" t="str">
        <f>"12.99"</f>
        <v>12.99</v>
      </c>
      <c r="C372" t="s">
        <v>1864</v>
      </c>
    </row>
    <row r="373" spans="1:3" x14ac:dyDescent="0.25">
      <c r="A373" t="str">
        <f t="shared" si="8"/>
        <v>12</v>
      </c>
      <c r="B373" t="str">
        <f>"12.9999"</f>
        <v>12.9999</v>
      </c>
      <c r="C373" t="s">
        <v>1864</v>
      </c>
    </row>
    <row r="374" spans="1:3" x14ac:dyDescent="0.25">
      <c r="A374" t="str">
        <f>"13"</f>
        <v>13</v>
      </c>
      <c r="B374" t="str">
        <f>"13"</f>
        <v>13</v>
      </c>
      <c r="C374" t="s">
        <v>341</v>
      </c>
    </row>
    <row r="375" spans="1:3" x14ac:dyDescent="0.25">
      <c r="A375" t="str">
        <f t="shared" ref="A375:A438" si="9">"13"</f>
        <v>13</v>
      </c>
      <c r="B375" t="str">
        <f>"13.01"</f>
        <v>13.01</v>
      </c>
      <c r="C375" t="s">
        <v>342</v>
      </c>
    </row>
    <row r="376" spans="1:3" x14ac:dyDescent="0.25">
      <c r="A376" t="str">
        <f t="shared" si="9"/>
        <v>13</v>
      </c>
      <c r="B376" t="str">
        <f>"13.0101"</f>
        <v>13.0101</v>
      </c>
      <c r="C376" t="s">
        <v>342</v>
      </c>
    </row>
    <row r="377" spans="1:3" x14ac:dyDescent="0.25">
      <c r="A377" t="str">
        <f t="shared" si="9"/>
        <v>13</v>
      </c>
      <c r="B377" t="str">
        <f>"13.02"</f>
        <v>13.02</v>
      </c>
      <c r="C377" t="s">
        <v>343</v>
      </c>
    </row>
    <row r="378" spans="1:3" x14ac:dyDescent="0.25">
      <c r="A378" t="str">
        <f t="shared" si="9"/>
        <v>13</v>
      </c>
      <c r="B378" t="str">
        <f>"13.0201"</f>
        <v>13.0201</v>
      </c>
      <c r="C378" t="s">
        <v>344</v>
      </c>
    </row>
    <row r="379" spans="1:3" x14ac:dyDescent="0.25">
      <c r="A379" t="str">
        <f t="shared" si="9"/>
        <v>13</v>
      </c>
      <c r="B379" t="str">
        <f>"13.0202"</f>
        <v>13.0202</v>
      </c>
      <c r="C379" t="s">
        <v>345</v>
      </c>
    </row>
    <row r="380" spans="1:3" x14ac:dyDescent="0.25">
      <c r="A380" t="str">
        <f t="shared" si="9"/>
        <v>13</v>
      </c>
      <c r="B380" t="str">
        <f>"13.0203"</f>
        <v>13.0203</v>
      </c>
      <c r="C380" t="s">
        <v>346</v>
      </c>
    </row>
    <row r="381" spans="1:3" x14ac:dyDescent="0.25">
      <c r="A381" t="str">
        <f t="shared" si="9"/>
        <v>13</v>
      </c>
      <c r="B381" t="str">
        <f>"13.0299"</f>
        <v>13.0299</v>
      </c>
      <c r="C381" t="s">
        <v>347</v>
      </c>
    </row>
    <row r="382" spans="1:3" x14ac:dyDescent="0.25">
      <c r="A382" t="str">
        <f t="shared" si="9"/>
        <v>13</v>
      </c>
      <c r="B382" t="str">
        <f>"13.03"</f>
        <v>13.03</v>
      </c>
      <c r="C382" t="s">
        <v>348</v>
      </c>
    </row>
    <row r="383" spans="1:3" x14ac:dyDescent="0.25">
      <c r="A383" t="str">
        <f t="shared" si="9"/>
        <v>13</v>
      </c>
      <c r="B383" t="str">
        <f>"13.0301"</f>
        <v>13.0301</v>
      </c>
      <c r="C383" t="s">
        <v>348</v>
      </c>
    </row>
    <row r="384" spans="1:3" x14ac:dyDescent="0.25">
      <c r="A384" t="str">
        <f t="shared" si="9"/>
        <v>13</v>
      </c>
      <c r="B384" t="str">
        <f>"13.04"</f>
        <v>13.04</v>
      </c>
      <c r="C384" t="s">
        <v>349</v>
      </c>
    </row>
    <row r="385" spans="1:3" x14ac:dyDescent="0.25">
      <c r="A385" t="str">
        <f t="shared" si="9"/>
        <v>13</v>
      </c>
      <c r="B385" t="str">
        <f>"13.0401"</f>
        <v>13.0401</v>
      </c>
      <c r="C385" t="s">
        <v>350</v>
      </c>
    </row>
    <row r="386" spans="1:3" x14ac:dyDescent="0.25">
      <c r="A386" t="str">
        <f t="shared" si="9"/>
        <v>13</v>
      </c>
      <c r="B386" t="str">
        <f>"13.0402"</f>
        <v>13.0402</v>
      </c>
      <c r="C386" t="s">
        <v>351</v>
      </c>
    </row>
    <row r="387" spans="1:3" x14ac:dyDescent="0.25">
      <c r="A387" t="str">
        <f t="shared" si="9"/>
        <v>13</v>
      </c>
      <c r="B387" t="str">
        <f>"13.0403"</f>
        <v>13.0403</v>
      </c>
      <c r="C387" t="s">
        <v>352</v>
      </c>
    </row>
    <row r="388" spans="1:3" x14ac:dyDescent="0.25">
      <c r="A388" t="str">
        <f t="shared" si="9"/>
        <v>13</v>
      </c>
      <c r="B388" t="str">
        <f>"13.0404"</f>
        <v>13.0404</v>
      </c>
      <c r="C388" t="s">
        <v>353</v>
      </c>
    </row>
    <row r="389" spans="1:3" x14ac:dyDescent="0.25">
      <c r="A389" t="str">
        <f t="shared" si="9"/>
        <v>13</v>
      </c>
      <c r="B389" t="str">
        <f>"13.0406"</f>
        <v>13.0406</v>
      </c>
      <c r="C389" t="s">
        <v>354</v>
      </c>
    </row>
    <row r="390" spans="1:3" x14ac:dyDescent="0.25">
      <c r="A390" t="str">
        <f t="shared" si="9"/>
        <v>13</v>
      </c>
      <c r="B390" t="str">
        <f>"13.0407"</f>
        <v>13.0407</v>
      </c>
      <c r="C390" t="s">
        <v>1865</v>
      </c>
    </row>
    <row r="391" spans="1:3" x14ac:dyDescent="0.25">
      <c r="A391" t="str">
        <f t="shared" si="9"/>
        <v>13</v>
      </c>
      <c r="B391" t="str">
        <f>"13.0408"</f>
        <v>13.0408</v>
      </c>
      <c r="C391" t="s">
        <v>355</v>
      </c>
    </row>
    <row r="392" spans="1:3" x14ac:dyDescent="0.25">
      <c r="A392" t="str">
        <f t="shared" si="9"/>
        <v>13</v>
      </c>
      <c r="B392" t="str">
        <f>"13.0409"</f>
        <v>13.0409</v>
      </c>
      <c r="C392" t="s">
        <v>356</v>
      </c>
    </row>
    <row r="393" spans="1:3" x14ac:dyDescent="0.25">
      <c r="A393" t="str">
        <f t="shared" si="9"/>
        <v>13</v>
      </c>
      <c r="B393" t="str">
        <f>"13.0410"</f>
        <v>13.0410</v>
      </c>
      <c r="C393" t="s">
        <v>357</v>
      </c>
    </row>
    <row r="394" spans="1:3" x14ac:dyDescent="0.25">
      <c r="A394" t="str">
        <f t="shared" si="9"/>
        <v>13</v>
      </c>
      <c r="B394" t="str">
        <f>"13.0411"</f>
        <v>13.0411</v>
      </c>
      <c r="C394" t="s">
        <v>358</v>
      </c>
    </row>
    <row r="395" spans="1:3" x14ac:dyDescent="0.25">
      <c r="A395" t="str">
        <f t="shared" si="9"/>
        <v>13</v>
      </c>
      <c r="B395" t="str">
        <f>"13.0412"</f>
        <v>13.0412</v>
      </c>
      <c r="C395" t="s">
        <v>1866</v>
      </c>
    </row>
    <row r="396" spans="1:3" x14ac:dyDescent="0.25">
      <c r="A396" t="str">
        <f t="shared" si="9"/>
        <v>13</v>
      </c>
      <c r="B396" t="str">
        <f>"13.0413"</f>
        <v>13.0413</v>
      </c>
      <c r="C396" t="s">
        <v>1867</v>
      </c>
    </row>
    <row r="397" spans="1:3" x14ac:dyDescent="0.25">
      <c r="A397" t="str">
        <f t="shared" si="9"/>
        <v>13</v>
      </c>
      <c r="B397" t="str">
        <f>"13.0414"</f>
        <v>13.0414</v>
      </c>
      <c r="C397" t="s">
        <v>1868</v>
      </c>
    </row>
    <row r="398" spans="1:3" x14ac:dyDescent="0.25">
      <c r="A398" t="str">
        <f t="shared" si="9"/>
        <v>13</v>
      </c>
      <c r="B398" t="str">
        <f>"13.0499"</f>
        <v>13.0499</v>
      </c>
      <c r="C398" t="s">
        <v>359</v>
      </c>
    </row>
    <row r="399" spans="1:3" x14ac:dyDescent="0.25">
      <c r="A399" t="str">
        <f t="shared" si="9"/>
        <v>13</v>
      </c>
      <c r="B399" t="str">
        <f>"13.05"</f>
        <v>13.05</v>
      </c>
      <c r="C399" t="s">
        <v>360</v>
      </c>
    </row>
    <row r="400" spans="1:3" x14ac:dyDescent="0.25">
      <c r="A400" t="str">
        <f t="shared" si="9"/>
        <v>13</v>
      </c>
      <c r="B400" t="str">
        <f>"13.0501"</f>
        <v>13.0501</v>
      </c>
      <c r="C400" t="s">
        <v>1869</v>
      </c>
    </row>
    <row r="401" spans="1:3" x14ac:dyDescent="0.25">
      <c r="A401" t="str">
        <f t="shared" si="9"/>
        <v>13</v>
      </c>
      <c r="B401" t="str">
        <f>"13.06"</f>
        <v>13.06</v>
      </c>
      <c r="C401" t="s">
        <v>361</v>
      </c>
    </row>
    <row r="402" spans="1:3" x14ac:dyDescent="0.25">
      <c r="A402" t="str">
        <f t="shared" si="9"/>
        <v>13</v>
      </c>
      <c r="B402" t="str">
        <f>"13.0601"</f>
        <v>13.0601</v>
      </c>
      <c r="C402" t="s">
        <v>362</v>
      </c>
    </row>
    <row r="403" spans="1:3" x14ac:dyDescent="0.25">
      <c r="A403" t="str">
        <f t="shared" si="9"/>
        <v>13</v>
      </c>
      <c r="B403" t="str">
        <f>"13.0603"</f>
        <v>13.0603</v>
      </c>
      <c r="C403" t="s">
        <v>363</v>
      </c>
    </row>
    <row r="404" spans="1:3" x14ac:dyDescent="0.25">
      <c r="A404" t="str">
        <f t="shared" si="9"/>
        <v>13</v>
      </c>
      <c r="B404" t="str">
        <f>"13.0604"</f>
        <v>13.0604</v>
      </c>
      <c r="C404" t="s">
        <v>364</v>
      </c>
    </row>
    <row r="405" spans="1:3" x14ac:dyDescent="0.25">
      <c r="A405" t="str">
        <f t="shared" si="9"/>
        <v>13</v>
      </c>
      <c r="B405" t="str">
        <f>"13.0607"</f>
        <v>13.0607</v>
      </c>
      <c r="C405" t="s">
        <v>365</v>
      </c>
    </row>
    <row r="406" spans="1:3" x14ac:dyDescent="0.25">
      <c r="A406" t="str">
        <f t="shared" si="9"/>
        <v>13</v>
      </c>
      <c r="B406" t="str">
        <f>"13.0608"</f>
        <v>13.0608</v>
      </c>
      <c r="C406" t="s">
        <v>1870</v>
      </c>
    </row>
    <row r="407" spans="1:3" x14ac:dyDescent="0.25">
      <c r="A407" t="str">
        <f t="shared" si="9"/>
        <v>13</v>
      </c>
      <c r="B407" t="str">
        <f>"13.0699"</f>
        <v>13.0699</v>
      </c>
      <c r="C407" t="s">
        <v>366</v>
      </c>
    </row>
    <row r="408" spans="1:3" x14ac:dyDescent="0.25">
      <c r="A408" t="str">
        <f t="shared" si="9"/>
        <v>13</v>
      </c>
      <c r="B408" t="str">
        <f>"13.07"</f>
        <v>13.07</v>
      </c>
      <c r="C408" t="s">
        <v>367</v>
      </c>
    </row>
    <row r="409" spans="1:3" x14ac:dyDescent="0.25">
      <c r="A409" t="str">
        <f t="shared" si="9"/>
        <v>13</v>
      </c>
      <c r="B409" t="str">
        <f>"13.0701"</f>
        <v>13.0701</v>
      </c>
      <c r="C409" t="s">
        <v>367</v>
      </c>
    </row>
    <row r="410" spans="1:3" x14ac:dyDescent="0.25">
      <c r="A410" t="str">
        <f t="shared" si="9"/>
        <v>13</v>
      </c>
      <c r="B410" t="str">
        <f>"13.09"</f>
        <v>13.09</v>
      </c>
      <c r="C410" t="s">
        <v>368</v>
      </c>
    </row>
    <row r="411" spans="1:3" x14ac:dyDescent="0.25">
      <c r="A411" t="str">
        <f t="shared" si="9"/>
        <v>13</v>
      </c>
      <c r="B411" t="str">
        <f>"13.0901"</f>
        <v>13.0901</v>
      </c>
      <c r="C411" t="s">
        <v>368</v>
      </c>
    </row>
    <row r="412" spans="1:3" x14ac:dyDescent="0.25">
      <c r="A412" t="str">
        <f t="shared" si="9"/>
        <v>13</v>
      </c>
      <c r="B412" t="str">
        <f>"13.10"</f>
        <v>13.10</v>
      </c>
      <c r="C412" t="s">
        <v>369</v>
      </c>
    </row>
    <row r="413" spans="1:3" x14ac:dyDescent="0.25">
      <c r="A413" t="str">
        <f t="shared" si="9"/>
        <v>13</v>
      </c>
      <c r="B413" t="str">
        <f>"13.1001"</f>
        <v>13.1001</v>
      </c>
      <c r="C413" t="s">
        <v>370</v>
      </c>
    </row>
    <row r="414" spans="1:3" x14ac:dyDescent="0.25">
      <c r="A414" t="str">
        <f t="shared" si="9"/>
        <v>13</v>
      </c>
      <c r="B414" t="str">
        <f>"13.1003"</f>
        <v>13.1003</v>
      </c>
      <c r="C414" t="s">
        <v>371</v>
      </c>
    </row>
    <row r="415" spans="1:3" x14ac:dyDescent="0.25">
      <c r="A415" t="str">
        <f t="shared" si="9"/>
        <v>13</v>
      </c>
      <c r="B415" t="str">
        <f>"13.1004"</f>
        <v>13.1004</v>
      </c>
      <c r="C415" t="s">
        <v>372</v>
      </c>
    </row>
    <row r="416" spans="1:3" x14ac:dyDescent="0.25">
      <c r="A416" t="str">
        <f t="shared" si="9"/>
        <v>13</v>
      </c>
      <c r="B416" t="str">
        <f>"13.1005"</f>
        <v>13.1005</v>
      </c>
      <c r="C416" t="s">
        <v>373</v>
      </c>
    </row>
    <row r="417" spans="1:3" x14ac:dyDescent="0.25">
      <c r="A417" t="str">
        <f t="shared" si="9"/>
        <v>13</v>
      </c>
      <c r="B417" t="str">
        <f>"13.1006"</f>
        <v>13.1006</v>
      </c>
      <c r="C417" t="s">
        <v>1871</v>
      </c>
    </row>
    <row r="418" spans="1:3" x14ac:dyDescent="0.25">
      <c r="A418" t="str">
        <f t="shared" si="9"/>
        <v>13</v>
      </c>
      <c r="B418" t="str">
        <f>"13.1007"</f>
        <v>13.1007</v>
      </c>
      <c r="C418" t="s">
        <v>374</v>
      </c>
    </row>
    <row r="419" spans="1:3" x14ac:dyDescent="0.25">
      <c r="A419" t="str">
        <f t="shared" si="9"/>
        <v>13</v>
      </c>
      <c r="B419" t="str">
        <f>"13.1008"</f>
        <v>13.1008</v>
      </c>
      <c r="C419" t="s">
        <v>375</v>
      </c>
    </row>
    <row r="420" spans="1:3" x14ac:dyDescent="0.25">
      <c r="A420" t="str">
        <f t="shared" si="9"/>
        <v>13</v>
      </c>
      <c r="B420" t="str">
        <f>"13.1009"</f>
        <v>13.1009</v>
      </c>
      <c r="C420" t="s">
        <v>376</v>
      </c>
    </row>
    <row r="421" spans="1:3" x14ac:dyDescent="0.25">
      <c r="A421" t="str">
        <f t="shared" si="9"/>
        <v>13</v>
      </c>
      <c r="B421" t="str">
        <f>"13.1011"</f>
        <v>13.1011</v>
      </c>
      <c r="C421" t="s">
        <v>377</v>
      </c>
    </row>
    <row r="422" spans="1:3" x14ac:dyDescent="0.25">
      <c r="A422" t="str">
        <f t="shared" si="9"/>
        <v>13</v>
      </c>
      <c r="B422" t="str">
        <f>"13.1012"</f>
        <v>13.1012</v>
      </c>
      <c r="C422" t="s">
        <v>378</v>
      </c>
    </row>
    <row r="423" spans="1:3" x14ac:dyDescent="0.25">
      <c r="A423" t="str">
        <f t="shared" si="9"/>
        <v>13</v>
      </c>
      <c r="B423" t="str">
        <f>"13.1013"</f>
        <v>13.1013</v>
      </c>
      <c r="C423" t="s">
        <v>379</v>
      </c>
    </row>
    <row r="424" spans="1:3" x14ac:dyDescent="0.25">
      <c r="A424" t="str">
        <f t="shared" si="9"/>
        <v>13</v>
      </c>
      <c r="B424" t="str">
        <f>"13.1014"</f>
        <v>13.1014</v>
      </c>
      <c r="C424" t="s">
        <v>380</v>
      </c>
    </row>
    <row r="425" spans="1:3" x14ac:dyDescent="0.25">
      <c r="A425" t="str">
        <f t="shared" si="9"/>
        <v>13</v>
      </c>
      <c r="B425" t="str">
        <f>"13.1015"</f>
        <v>13.1015</v>
      </c>
      <c r="C425" t="s">
        <v>381</v>
      </c>
    </row>
    <row r="426" spans="1:3" x14ac:dyDescent="0.25">
      <c r="A426" t="str">
        <f t="shared" si="9"/>
        <v>13</v>
      </c>
      <c r="B426" t="str">
        <f>"13.1016"</f>
        <v>13.1016</v>
      </c>
      <c r="C426" t="s">
        <v>382</v>
      </c>
    </row>
    <row r="427" spans="1:3" x14ac:dyDescent="0.25">
      <c r="A427" t="str">
        <f t="shared" si="9"/>
        <v>13</v>
      </c>
      <c r="B427" t="str">
        <f>"13.1017"</f>
        <v>13.1017</v>
      </c>
      <c r="C427" t="s">
        <v>383</v>
      </c>
    </row>
    <row r="428" spans="1:3" x14ac:dyDescent="0.25">
      <c r="A428" t="str">
        <f t="shared" si="9"/>
        <v>13</v>
      </c>
      <c r="B428" t="str">
        <f>"13.1018"</f>
        <v>13.1018</v>
      </c>
      <c r="C428" t="s">
        <v>384</v>
      </c>
    </row>
    <row r="429" spans="1:3" x14ac:dyDescent="0.25">
      <c r="A429" t="str">
        <f t="shared" si="9"/>
        <v>13</v>
      </c>
      <c r="B429" t="str">
        <f>"13.1019"</f>
        <v>13.1019</v>
      </c>
      <c r="C429" t="s">
        <v>385</v>
      </c>
    </row>
    <row r="430" spans="1:3" x14ac:dyDescent="0.25">
      <c r="A430" t="str">
        <f t="shared" si="9"/>
        <v>13</v>
      </c>
      <c r="B430" t="str">
        <f>"13.1099"</f>
        <v>13.1099</v>
      </c>
      <c r="C430" t="s">
        <v>386</v>
      </c>
    </row>
    <row r="431" spans="1:3" x14ac:dyDescent="0.25">
      <c r="A431" t="str">
        <f t="shared" si="9"/>
        <v>13</v>
      </c>
      <c r="B431" t="str">
        <f>"13.11"</f>
        <v>13.11</v>
      </c>
      <c r="C431" t="s">
        <v>387</v>
      </c>
    </row>
    <row r="432" spans="1:3" x14ac:dyDescent="0.25">
      <c r="A432" t="str">
        <f t="shared" si="9"/>
        <v>13</v>
      </c>
      <c r="B432" t="str">
        <f>"13.1101"</f>
        <v>13.1101</v>
      </c>
      <c r="C432" t="s">
        <v>388</v>
      </c>
    </row>
    <row r="433" spans="1:3" x14ac:dyDescent="0.25">
      <c r="A433" t="str">
        <f t="shared" si="9"/>
        <v>13</v>
      </c>
      <c r="B433" t="str">
        <f>"13.1102"</f>
        <v>13.1102</v>
      </c>
      <c r="C433" t="s">
        <v>389</v>
      </c>
    </row>
    <row r="434" spans="1:3" x14ac:dyDescent="0.25">
      <c r="A434" t="str">
        <f t="shared" si="9"/>
        <v>13</v>
      </c>
      <c r="B434" t="str">
        <f>"13.1199"</f>
        <v>13.1199</v>
      </c>
      <c r="C434" t="s">
        <v>390</v>
      </c>
    </row>
    <row r="435" spans="1:3" x14ac:dyDescent="0.25">
      <c r="A435" t="str">
        <f t="shared" si="9"/>
        <v>13</v>
      </c>
      <c r="B435" t="str">
        <f>"13.12"</f>
        <v>13.12</v>
      </c>
      <c r="C435" t="s">
        <v>391</v>
      </c>
    </row>
    <row r="436" spans="1:3" x14ac:dyDescent="0.25">
      <c r="A436" t="str">
        <f t="shared" si="9"/>
        <v>13</v>
      </c>
      <c r="B436" t="str">
        <f>"13.1201"</f>
        <v>13.1201</v>
      </c>
      <c r="C436" t="s">
        <v>392</v>
      </c>
    </row>
    <row r="437" spans="1:3" x14ac:dyDescent="0.25">
      <c r="A437" t="str">
        <f t="shared" si="9"/>
        <v>13</v>
      </c>
      <c r="B437" t="str">
        <f>"13.1202"</f>
        <v>13.1202</v>
      </c>
      <c r="C437" t="s">
        <v>393</v>
      </c>
    </row>
    <row r="438" spans="1:3" x14ac:dyDescent="0.25">
      <c r="A438" t="str">
        <f t="shared" si="9"/>
        <v>13</v>
      </c>
      <c r="B438" t="str">
        <f>"13.1203"</f>
        <v>13.1203</v>
      </c>
      <c r="C438" t="s">
        <v>394</v>
      </c>
    </row>
    <row r="439" spans="1:3" x14ac:dyDescent="0.25">
      <c r="A439" t="str">
        <f t="shared" ref="A439:A498" si="10">"13"</f>
        <v>13</v>
      </c>
      <c r="B439" t="str">
        <f>"13.1205"</f>
        <v>13.1205</v>
      </c>
      <c r="C439" t="s">
        <v>395</v>
      </c>
    </row>
    <row r="440" spans="1:3" x14ac:dyDescent="0.25">
      <c r="A440" t="str">
        <f t="shared" si="10"/>
        <v>13</v>
      </c>
      <c r="B440" t="str">
        <f>"13.1206"</f>
        <v>13.1206</v>
      </c>
      <c r="C440" t="s">
        <v>396</v>
      </c>
    </row>
    <row r="441" spans="1:3" x14ac:dyDescent="0.25">
      <c r="A441" t="str">
        <f t="shared" si="10"/>
        <v>13</v>
      </c>
      <c r="B441" t="str">
        <f>"13.1207"</f>
        <v>13.1207</v>
      </c>
      <c r="C441" t="s">
        <v>397</v>
      </c>
    </row>
    <row r="442" spans="1:3" x14ac:dyDescent="0.25">
      <c r="A442" t="str">
        <f t="shared" si="10"/>
        <v>13</v>
      </c>
      <c r="B442" t="str">
        <f>"13.1208"</f>
        <v>13.1208</v>
      </c>
      <c r="C442" t="s">
        <v>398</v>
      </c>
    </row>
    <row r="443" spans="1:3" x14ac:dyDescent="0.25">
      <c r="A443" t="str">
        <f t="shared" si="10"/>
        <v>13</v>
      </c>
      <c r="B443" t="str">
        <f>"13.1209"</f>
        <v>13.1209</v>
      </c>
      <c r="C443" t="s">
        <v>399</v>
      </c>
    </row>
    <row r="444" spans="1:3" x14ac:dyDescent="0.25">
      <c r="A444" t="str">
        <f t="shared" si="10"/>
        <v>13</v>
      </c>
      <c r="B444" t="str">
        <f>"13.1210"</f>
        <v>13.1210</v>
      </c>
      <c r="C444" t="s">
        <v>400</v>
      </c>
    </row>
    <row r="445" spans="1:3" x14ac:dyDescent="0.25">
      <c r="A445" t="str">
        <f t="shared" si="10"/>
        <v>13</v>
      </c>
      <c r="B445" t="str">
        <f>"13.1211"</f>
        <v>13.1211</v>
      </c>
      <c r="C445" t="s">
        <v>1872</v>
      </c>
    </row>
    <row r="446" spans="1:3" x14ac:dyDescent="0.25">
      <c r="A446" t="str">
        <f t="shared" si="10"/>
        <v>13</v>
      </c>
      <c r="B446" t="str">
        <f>"13.1212"</f>
        <v>13.1212</v>
      </c>
      <c r="C446" t="s">
        <v>1873</v>
      </c>
    </row>
    <row r="447" spans="1:3" x14ac:dyDescent="0.25">
      <c r="A447" t="str">
        <f t="shared" si="10"/>
        <v>13</v>
      </c>
      <c r="B447" t="str">
        <f>"13.1213"</f>
        <v>13.1213</v>
      </c>
      <c r="C447" t="s">
        <v>1874</v>
      </c>
    </row>
    <row r="448" spans="1:3" x14ac:dyDescent="0.25">
      <c r="A448" t="str">
        <f t="shared" si="10"/>
        <v>13</v>
      </c>
      <c r="B448" t="str">
        <f>"13.1214"</f>
        <v>13.1214</v>
      </c>
      <c r="C448" t="s">
        <v>1875</v>
      </c>
    </row>
    <row r="449" spans="1:3" x14ac:dyDescent="0.25">
      <c r="A449" t="str">
        <f t="shared" si="10"/>
        <v>13</v>
      </c>
      <c r="B449" t="str">
        <f>"13.1299"</f>
        <v>13.1299</v>
      </c>
      <c r="C449" t="s">
        <v>401</v>
      </c>
    </row>
    <row r="450" spans="1:3" x14ac:dyDescent="0.25">
      <c r="A450" t="str">
        <f t="shared" si="10"/>
        <v>13</v>
      </c>
      <c r="B450" t="str">
        <f>"13.13"</f>
        <v>13.13</v>
      </c>
      <c r="C450" t="s">
        <v>402</v>
      </c>
    </row>
    <row r="451" spans="1:3" x14ac:dyDescent="0.25">
      <c r="A451" t="str">
        <f t="shared" si="10"/>
        <v>13</v>
      </c>
      <c r="B451" t="str">
        <f>"13.1301"</f>
        <v>13.1301</v>
      </c>
      <c r="C451" t="s">
        <v>403</v>
      </c>
    </row>
    <row r="452" spans="1:3" x14ac:dyDescent="0.25">
      <c r="A452" t="str">
        <f t="shared" si="10"/>
        <v>13</v>
      </c>
      <c r="B452" t="str">
        <f>"13.1302"</f>
        <v>13.1302</v>
      </c>
      <c r="C452" t="s">
        <v>404</v>
      </c>
    </row>
    <row r="453" spans="1:3" x14ac:dyDescent="0.25">
      <c r="A453" t="str">
        <f t="shared" si="10"/>
        <v>13</v>
      </c>
      <c r="B453" t="str">
        <f>"13.1303"</f>
        <v>13.1303</v>
      </c>
      <c r="C453" t="s">
        <v>1876</v>
      </c>
    </row>
    <row r="454" spans="1:3" x14ac:dyDescent="0.25">
      <c r="A454" t="str">
        <f t="shared" si="10"/>
        <v>13</v>
      </c>
      <c r="B454" t="str">
        <f>"13.1304"</f>
        <v>13.1304</v>
      </c>
      <c r="C454" t="s">
        <v>405</v>
      </c>
    </row>
    <row r="455" spans="1:3" x14ac:dyDescent="0.25">
      <c r="A455" t="str">
        <f t="shared" si="10"/>
        <v>13</v>
      </c>
      <c r="B455" t="str">
        <f>"13.1305"</f>
        <v>13.1305</v>
      </c>
      <c r="C455" t="s">
        <v>406</v>
      </c>
    </row>
    <row r="456" spans="1:3" x14ac:dyDescent="0.25">
      <c r="A456" t="str">
        <f t="shared" si="10"/>
        <v>13</v>
      </c>
      <c r="B456" t="str">
        <f>"13.1306"</f>
        <v>13.1306</v>
      </c>
      <c r="C456" t="s">
        <v>407</v>
      </c>
    </row>
    <row r="457" spans="1:3" x14ac:dyDescent="0.25">
      <c r="A457" t="str">
        <f t="shared" si="10"/>
        <v>13</v>
      </c>
      <c r="B457" t="str">
        <f>"13.1307"</f>
        <v>13.1307</v>
      </c>
      <c r="C457" t="s">
        <v>408</v>
      </c>
    </row>
    <row r="458" spans="1:3" x14ac:dyDescent="0.25">
      <c r="A458" t="str">
        <f t="shared" si="10"/>
        <v>13</v>
      </c>
      <c r="B458" t="str">
        <f>"13.1308"</f>
        <v>13.1308</v>
      </c>
      <c r="C458" t="s">
        <v>409</v>
      </c>
    </row>
    <row r="459" spans="1:3" x14ac:dyDescent="0.25">
      <c r="A459" t="str">
        <f t="shared" si="10"/>
        <v>13</v>
      </c>
      <c r="B459" t="str">
        <f>"13.1309"</f>
        <v>13.1309</v>
      </c>
      <c r="C459" t="s">
        <v>410</v>
      </c>
    </row>
    <row r="460" spans="1:3" x14ac:dyDescent="0.25">
      <c r="A460" t="str">
        <f t="shared" si="10"/>
        <v>13</v>
      </c>
      <c r="B460" t="str">
        <f>"13.1310"</f>
        <v>13.1310</v>
      </c>
      <c r="C460" t="s">
        <v>411</v>
      </c>
    </row>
    <row r="461" spans="1:3" x14ac:dyDescent="0.25">
      <c r="A461" t="str">
        <f t="shared" si="10"/>
        <v>13</v>
      </c>
      <c r="B461" t="str">
        <f>"13.1311"</f>
        <v>13.1311</v>
      </c>
      <c r="C461" t="s">
        <v>412</v>
      </c>
    </row>
    <row r="462" spans="1:3" x14ac:dyDescent="0.25">
      <c r="A462" t="str">
        <f t="shared" si="10"/>
        <v>13</v>
      </c>
      <c r="B462" t="str">
        <f>"13.1312"</f>
        <v>13.1312</v>
      </c>
      <c r="C462" t="s">
        <v>413</v>
      </c>
    </row>
    <row r="463" spans="1:3" x14ac:dyDescent="0.25">
      <c r="A463" t="str">
        <f t="shared" si="10"/>
        <v>13</v>
      </c>
      <c r="B463" t="str">
        <f>"13.1314"</f>
        <v>13.1314</v>
      </c>
      <c r="C463" t="s">
        <v>414</v>
      </c>
    </row>
    <row r="464" spans="1:3" x14ac:dyDescent="0.25">
      <c r="A464" t="str">
        <f t="shared" si="10"/>
        <v>13</v>
      </c>
      <c r="B464" t="str">
        <f>"13.1315"</f>
        <v>13.1315</v>
      </c>
      <c r="C464" t="s">
        <v>415</v>
      </c>
    </row>
    <row r="465" spans="1:3" x14ac:dyDescent="0.25">
      <c r="A465" t="str">
        <f t="shared" si="10"/>
        <v>13</v>
      </c>
      <c r="B465" t="str">
        <f>"13.1316"</f>
        <v>13.1316</v>
      </c>
      <c r="C465" t="s">
        <v>416</v>
      </c>
    </row>
    <row r="466" spans="1:3" x14ac:dyDescent="0.25">
      <c r="A466" t="str">
        <f t="shared" si="10"/>
        <v>13</v>
      </c>
      <c r="B466" t="str">
        <f>"13.1317"</f>
        <v>13.1317</v>
      </c>
      <c r="C466" t="s">
        <v>417</v>
      </c>
    </row>
    <row r="467" spans="1:3" x14ac:dyDescent="0.25">
      <c r="A467" t="str">
        <f t="shared" si="10"/>
        <v>13</v>
      </c>
      <c r="B467" t="str">
        <f>"13.1318"</f>
        <v>13.1318</v>
      </c>
      <c r="C467" t="s">
        <v>418</v>
      </c>
    </row>
    <row r="468" spans="1:3" x14ac:dyDescent="0.25">
      <c r="A468" t="str">
        <f t="shared" si="10"/>
        <v>13</v>
      </c>
      <c r="B468" t="str">
        <f>"13.1319"</f>
        <v>13.1319</v>
      </c>
      <c r="C468" t="s">
        <v>419</v>
      </c>
    </row>
    <row r="469" spans="1:3" x14ac:dyDescent="0.25">
      <c r="A469" t="str">
        <f t="shared" si="10"/>
        <v>13</v>
      </c>
      <c r="B469" t="str">
        <f>"13.1320"</f>
        <v>13.1320</v>
      </c>
      <c r="C469" t="s">
        <v>420</v>
      </c>
    </row>
    <row r="470" spans="1:3" x14ac:dyDescent="0.25">
      <c r="A470" t="str">
        <f t="shared" si="10"/>
        <v>13</v>
      </c>
      <c r="B470" t="str">
        <f>"13.1321"</f>
        <v>13.1321</v>
      </c>
      <c r="C470" t="s">
        <v>421</v>
      </c>
    </row>
    <row r="471" spans="1:3" x14ac:dyDescent="0.25">
      <c r="A471" t="str">
        <f t="shared" si="10"/>
        <v>13</v>
      </c>
      <c r="B471" t="str">
        <f>"13.1322"</f>
        <v>13.1322</v>
      </c>
      <c r="C471" t="s">
        <v>422</v>
      </c>
    </row>
    <row r="472" spans="1:3" x14ac:dyDescent="0.25">
      <c r="A472" t="str">
        <f t="shared" si="10"/>
        <v>13</v>
      </c>
      <c r="B472" t="str">
        <f>"13.1323"</f>
        <v>13.1323</v>
      </c>
      <c r="C472" t="s">
        <v>423</v>
      </c>
    </row>
    <row r="473" spans="1:3" x14ac:dyDescent="0.25">
      <c r="A473" t="str">
        <f t="shared" si="10"/>
        <v>13</v>
      </c>
      <c r="B473" t="str">
        <f>"13.1324"</f>
        <v>13.1324</v>
      </c>
      <c r="C473" t="s">
        <v>424</v>
      </c>
    </row>
    <row r="474" spans="1:3" x14ac:dyDescent="0.25">
      <c r="A474" t="str">
        <f t="shared" si="10"/>
        <v>13</v>
      </c>
      <c r="B474" t="str">
        <f>"13.1325"</f>
        <v>13.1325</v>
      </c>
      <c r="C474" t="s">
        <v>425</v>
      </c>
    </row>
    <row r="475" spans="1:3" x14ac:dyDescent="0.25">
      <c r="A475" t="str">
        <f t="shared" si="10"/>
        <v>13</v>
      </c>
      <c r="B475" t="str">
        <f>"13.1326"</f>
        <v>13.1326</v>
      </c>
      <c r="C475" t="s">
        <v>426</v>
      </c>
    </row>
    <row r="476" spans="1:3" x14ac:dyDescent="0.25">
      <c r="A476" t="str">
        <f t="shared" si="10"/>
        <v>13</v>
      </c>
      <c r="B476" t="str">
        <f>"13.1327"</f>
        <v>13.1327</v>
      </c>
      <c r="C476" t="s">
        <v>427</v>
      </c>
    </row>
    <row r="477" spans="1:3" x14ac:dyDescent="0.25">
      <c r="A477" t="str">
        <f t="shared" si="10"/>
        <v>13</v>
      </c>
      <c r="B477" t="str">
        <f>"13.1328"</f>
        <v>13.1328</v>
      </c>
      <c r="C477" t="s">
        <v>428</v>
      </c>
    </row>
    <row r="478" spans="1:3" x14ac:dyDescent="0.25">
      <c r="A478" t="str">
        <f t="shared" si="10"/>
        <v>13</v>
      </c>
      <c r="B478" t="str">
        <f>"13.1329"</f>
        <v>13.1329</v>
      </c>
      <c r="C478" t="s">
        <v>429</v>
      </c>
    </row>
    <row r="479" spans="1:3" x14ac:dyDescent="0.25">
      <c r="A479" t="str">
        <f t="shared" si="10"/>
        <v>13</v>
      </c>
      <c r="B479" t="str">
        <f>"13.1330"</f>
        <v>13.1330</v>
      </c>
      <c r="C479" t="s">
        <v>430</v>
      </c>
    </row>
    <row r="480" spans="1:3" x14ac:dyDescent="0.25">
      <c r="A480" t="str">
        <f t="shared" si="10"/>
        <v>13</v>
      </c>
      <c r="B480" t="str">
        <f>"13.1331"</f>
        <v>13.1331</v>
      </c>
      <c r="C480" t="s">
        <v>431</v>
      </c>
    </row>
    <row r="481" spans="1:3" x14ac:dyDescent="0.25">
      <c r="A481" t="str">
        <f t="shared" si="10"/>
        <v>13</v>
      </c>
      <c r="B481" t="str">
        <f>"13.1332"</f>
        <v>13.1332</v>
      </c>
      <c r="C481" t="s">
        <v>432</v>
      </c>
    </row>
    <row r="482" spans="1:3" x14ac:dyDescent="0.25">
      <c r="A482" t="str">
        <f t="shared" si="10"/>
        <v>13</v>
      </c>
      <c r="B482" t="str">
        <f>"13.1333"</f>
        <v>13.1333</v>
      </c>
      <c r="C482" t="s">
        <v>433</v>
      </c>
    </row>
    <row r="483" spans="1:3" x14ac:dyDescent="0.25">
      <c r="A483" t="str">
        <f t="shared" si="10"/>
        <v>13</v>
      </c>
      <c r="B483" t="str">
        <f>"13.1334"</f>
        <v>13.1334</v>
      </c>
      <c r="C483" t="s">
        <v>434</v>
      </c>
    </row>
    <row r="484" spans="1:3" x14ac:dyDescent="0.25">
      <c r="A484" t="str">
        <f t="shared" si="10"/>
        <v>13</v>
      </c>
      <c r="B484" t="str">
        <f>"13.1335"</f>
        <v>13.1335</v>
      </c>
      <c r="C484" t="s">
        <v>435</v>
      </c>
    </row>
    <row r="485" spans="1:3" x14ac:dyDescent="0.25">
      <c r="A485" t="str">
        <f t="shared" si="10"/>
        <v>13</v>
      </c>
      <c r="B485" t="str">
        <f>"13.1337"</f>
        <v>13.1337</v>
      </c>
      <c r="C485" t="s">
        <v>436</v>
      </c>
    </row>
    <row r="486" spans="1:3" x14ac:dyDescent="0.25">
      <c r="A486" t="str">
        <f t="shared" si="10"/>
        <v>13</v>
      </c>
      <c r="B486" t="str">
        <f>"13.1338"</f>
        <v>13.1338</v>
      </c>
      <c r="C486" t="s">
        <v>437</v>
      </c>
    </row>
    <row r="487" spans="1:3" x14ac:dyDescent="0.25">
      <c r="A487" t="str">
        <f t="shared" si="10"/>
        <v>13</v>
      </c>
      <c r="B487" t="str">
        <f>"13.1339"</f>
        <v>13.1339</v>
      </c>
      <c r="C487" t="s">
        <v>1877</v>
      </c>
    </row>
    <row r="488" spans="1:3" x14ac:dyDescent="0.25">
      <c r="A488" t="str">
        <f t="shared" si="10"/>
        <v>13</v>
      </c>
      <c r="B488" t="str">
        <f>"13.1399"</f>
        <v>13.1399</v>
      </c>
      <c r="C488" t="s">
        <v>438</v>
      </c>
    </row>
    <row r="489" spans="1:3" x14ac:dyDescent="0.25">
      <c r="A489" t="str">
        <f t="shared" si="10"/>
        <v>13</v>
      </c>
      <c r="B489" t="str">
        <f>"13.14"</f>
        <v>13.14</v>
      </c>
      <c r="C489" t="s">
        <v>439</v>
      </c>
    </row>
    <row r="490" spans="1:3" x14ac:dyDescent="0.25">
      <c r="A490" t="str">
        <f t="shared" si="10"/>
        <v>13</v>
      </c>
      <c r="B490" t="str">
        <f>"13.1401"</f>
        <v>13.1401</v>
      </c>
      <c r="C490" t="s">
        <v>440</v>
      </c>
    </row>
    <row r="491" spans="1:3" x14ac:dyDescent="0.25">
      <c r="A491" t="str">
        <f t="shared" si="10"/>
        <v>13</v>
      </c>
      <c r="B491" t="str">
        <f>"13.1402"</f>
        <v>13.1402</v>
      </c>
      <c r="C491" t="s">
        <v>441</v>
      </c>
    </row>
    <row r="492" spans="1:3" x14ac:dyDescent="0.25">
      <c r="A492" t="str">
        <f t="shared" si="10"/>
        <v>13</v>
      </c>
      <c r="B492" t="str">
        <f>"13.1499"</f>
        <v>13.1499</v>
      </c>
      <c r="C492" t="s">
        <v>442</v>
      </c>
    </row>
    <row r="493" spans="1:3" x14ac:dyDescent="0.25">
      <c r="A493" t="str">
        <f t="shared" si="10"/>
        <v>13</v>
      </c>
      <c r="B493" t="str">
        <f>"13.15"</f>
        <v>13.15</v>
      </c>
      <c r="C493" t="s">
        <v>443</v>
      </c>
    </row>
    <row r="494" spans="1:3" x14ac:dyDescent="0.25">
      <c r="A494" t="str">
        <f t="shared" si="10"/>
        <v>13</v>
      </c>
      <c r="B494" t="str">
        <f>"13.1501"</f>
        <v>13.1501</v>
      </c>
      <c r="C494" t="s">
        <v>444</v>
      </c>
    </row>
    <row r="495" spans="1:3" x14ac:dyDescent="0.25">
      <c r="A495" t="str">
        <f t="shared" si="10"/>
        <v>13</v>
      </c>
      <c r="B495" t="str">
        <f>"13.1502"</f>
        <v>13.1502</v>
      </c>
      <c r="C495" t="s">
        <v>445</v>
      </c>
    </row>
    <row r="496" spans="1:3" x14ac:dyDescent="0.25">
      <c r="A496" t="str">
        <f t="shared" si="10"/>
        <v>13</v>
      </c>
      <c r="B496" t="str">
        <f>"13.1599"</f>
        <v>13.1599</v>
      </c>
      <c r="C496" t="s">
        <v>446</v>
      </c>
    </row>
    <row r="497" spans="1:3" x14ac:dyDescent="0.25">
      <c r="A497" t="str">
        <f t="shared" si="10"/>
        <v>13</v>
      </c>
      <c r="B497" t="str">
        <f>"13.99"</f>
        <v>13.99</v>
      </c>
      <c r="C497" t="s">
        <v>447</v>
      </c>
    </row>
    <row r="498" spans="1:3" x14ac:dyDescent="0.25">
      <c r="A498" t="str">
        <f t="shared" si="10"/>
        <v>13</v>
      </c>
      <c r="B498" t="str">
        <f>"13.9999"</f>
        <v>13.9999</v>
      </c>
      <c r="C498" t="s">
        <v>447</v>
      </c>
    </row>
    <row r="499" spans="1:3" x14ac:dyDescent="0.25">
      <c r="A499" t="str">
        <f>"14"</f>
        <v>14</v>
      </c>
      <c r="B499" t="str">
        <f>"14"</f>
        <v>14</v>
      </c>
      <c r="C499" t="s">
        <v>448</v>
      </c>
    </row>
    <row r="500" spans="1:3" x14ac:dyDescent="0.25">
      <c r="A500" t="str">
        <f t="shared" ref="A500:A563" si="11">"14"</f>
        <v>14</v>
      </c>
      <c r="B500" t="str">
        <f>"14.01"</f>
        <v>14.01</v>
      </c>
      <c r="C500" t="s">
        <v>449</v>
      </c>
    </row>
    <row r="501" spans="1:3" x14ac:dyDescent="0.25">
      <c r="A501" t="str">
        <f t="shared" si="11"/>
        <v>14</v>
      </c>
      <c r="B501" t="str">
        <f>"14.0101"</f>
        <v>14.0101</v>
      </c>
      <c r="C501" t="s">
        <v>449</v>
      </c>
    </row>
    <row r="502" spans="1:3" x14ac:dyDescent="0.25">
      <c r="A502" t="str">
        <f t="shared" si="11"/>
        <v>14</v>
      </c>
      <c r="B502" t="str">
        <f>"14.0102"</f>
        <v>14.0102</v>
      </c>
      <c r="C502" t="s">
        <v>450</v>
      </c>
    </row>
    <row r="503" spans="1:3" x14ac:dyDescent="0.25">
      <c r="A503" t="str">
        <f t="shared" si="11"/>
        <v>14</v>
      </c>
      <c r="B503" t="str">
        <f>"14.0103"</f>
        <v>14.0103</v>
      </c>
      <c r="C503" t="s">
        <v>1878</v>
      </c>
    </row>
    <row r="504" spans="1:3" x14ac:dyDescent="0.25">
      <c r="A504" t="str">
        <f t="shared" si="11"/>
        <v>14</v>
      </c>
      <c r="B504" t="str">
        <f>"14.02"</f>
        <v>14.02</v>
      </c>
      <c r="C504" t="s">
        <v>1879</v>
      </c>
    </row>
    <row r="505" spans="1:3" x14ac:dyDescent="0.25">
      <c r="A505" t="str">
        <f t="shared" si="11"/>
        <v>14</v>
      </c>
      <c r="B505" t="str">
        <f>"14.0201"</f>
        <v>14.0201</v>
      </c>
      <c r="C505" t="s">
        <v>1880</v>
      </c>
    </row>
    <row r="506" spans="1:3" x14ac:dyDescent="0.25">
      <c r="A506" t="str">
        <f t="shared" si="11"/>
        <v>14</v>
      </c>
      <c r="B506" t="str">
        <f>"14.0202"</f>
        <v>14.0202</v>
      </c>
      <c r="C506" t="s">
        <v>1881</v>
      </c>
    </row>
    <row r="507" spans="1:3" x14ac:dyDescent="0.25">
      <c r="A507" t="str">
        <f t="shared" si="11"/>
        <v>14</v>
      </c>
      <c r="B507" t="str">
        <f>"14.0299"</f>
        <v>14.0299</v>
      </c>
      <c r="C507" t="s">
        <v>1882</v>
      </c>
    </row>
    <row r="508" spans="1:3" x14ac:dyDescent="0.25">
      <c r="A508" t="str">
        <f t="shared" si="11"/>
        <v>14</v>
      </c>
      <c r="B508" t="str">
        <f>"14.03"</f>
        <v>14.03</v>
      </c>
      <c r="C508" t="s">
        <v>451</v>
      </c>
    </row>
    <row r="509" spans="1:3" x14ac:dyDescent="0.25">
      <c r="A509" t="str">
        <f t="shared" si="11"/>
        <v>14</v>
      </c>
      <c r="B509" t="str">
        <f>"14.0301"</f>
        <v>14.0301</v>
      </c>
      <c r="C509" t="s">
        <v>451</v>
      </c>
    </row>
    <row r="510" spans="1:3" x14ac:dyDescent="0.25">
      <c r="A510" t="str">
        <f t="shared" si="11"/>
        <v>14</v>
      </c>
      <c r="B510" t="str">
        <f>"14.04"</f>
        <v>14.04</v>
      </c>
      <c r="C510" t="s">
        <v>452</v>
      </c>
    </row>
    <row r="511" spans="1:3" x14ac:dyDescent="0.25">
      <c r="A511" t="str">
        <f t="shared" si="11"/>
        <v>14</v>
      </c>
      <c r="B511" t="str">
        <f>"14.0401"</f>
        <v>14.0401</v>
      </c>
      <c r="C511" t="s">
        <v>452</v>
      </c>
    </row>
    <row r="512" spans="1:3" x14ac:dyDescent="0.25">
      <c r="A512" t="str">
        <f t="shared" si="11"/>
        <v>14</v>
      </c>
      <c r="B512" t="str">
        <f>"14.05"</f>
        <v>14.05</v>
      </c>
      <c r="C512" t="s">
        <v>453</v>
      </c>
    </row>
    <row r="513" spans="1:3" x14ac:dyDescent="0.25">
      <c r="A513" t="str">
        <f t="shared" si="11"/>
        <v>14</v>
      </c>
      <c r="B513" t="str">
        <f>"14.0501"</f>
        <v>14.0501</v>
      </c>
      <c r="C513" t="s">
        <v>1883</v>
      </c>
    </row>
    <row r="514" spans="1:3" x14ac:dyDescent="0.25">
      <c r="A514" t="str">
        <f t="shared" si="11"/>
        <v>14</v>
      </c>
      <c r="B514" t="str">
        <f>"14.06"</f>
        <v>14.06</v>
      </c>
      <c r="C514" t="s">
        <v>454</v>
      </c>
    </row>
    <row r="515" spans="1:3" x14ac:dyDescent="0.25">
      <c r="A515" t="str">
        <f t="shared" si="11"/>
        <v>14</v>
      </c>
      <c r="B515" t="str">
        <f>"14.0601"</f>
        <v>14.0601</v>
      </c>
      <c r="C515" t="s">
        <v>454</v>
      </c>
    </row>
    <row r="516" spans="1:3" x14ac:dyDescent="0.25">
      <c r="A516" t="str">
        <f t="shared" si="11"/>
        <v>14</v>
      </c>
      <c r="B516" t="str">
        <f>"14.07"</f>
        <v>14.07</v>
      </c>
      <c r="C516" t="s">
        <v>455</v>
      </c>
    </row>
    <row r="517" spans="1:3" x14ac:dyDescent="0.25">
      <c r="A517" t="str">
        <f t="shared" si="11"/>
        <v>14</v>
      </c>
      <c r="B517" t="str">
        <f>"14.0701"</f>
        <v>14.0701</v>
      </c>
      <c r="C517" t="s">
        <v>455</v>
      </c>
    </row>
    <row r="518" spans="1:3" x14ac:dyDescent="0.25">
      <c r="A518" t="str">
        <f t="shared" si="11"/>
        <v>14</v>
      </c>
      <c r="B518" t="str">
        <f>"14.0702"</f>
        <v>14.0702</v>
      </c>
      <c r="C518" t="s">
        <v>456</v>
      </c>
    </row>
    <row r="519" spans="1:3" x14ac:dyDescent="0.25">
      <c r="A519" t="str">
        <f t="shared" si="11"/>
        <v>14</v>
      </c>
      <c r="B519" t="str">
        <f>"14.0799"</f>
        <v>14.0799</v>
      </c>
      <c r="C519" t="s">
        <v>457</v>
      </c>
    </row>
    <row r="520" spans="1:3" x14ac:dyDescent="0.25">
      <c r="A520" t="str">
        <f t="shared" si="11"/>
        <v>14</v>
      </c>
      <c r="B520" t="str">
        <f>"14.08"</f>
        <v>14.08</v>
      </c>
      <c r="C520" t="s">
        <v>458</v>
      </c>
    </row>
    <row r="521" spans="1:3" x14ac:dyDescent="0.25">
      <c r="A521" t="str">
        <f t="shared" si="11"/>
        <v>14</v>
      </c>
      <c r="B521" t="str">
        <f>"14.0801"</f>
        <v>14.0801</v>
      </c>
      <c r="C521" t="s">
        <v>459</v>
      </c>
    </row>
    <row r="522" spans="1:3" x14ac:dyDescent="0.25">
      <c r="A522" t="str">
        <f t="shared" si="11"/>
        <v>14</v>
      </c>
      <c r="B522" t="str">
        <f>"14.0802"</f>
        <v>14.0802</v>
      </c>
      <c r="C522" t="s">
        <v>460</v>
      </c>
    </row>
    <row r="523" spans="1:3" x14ac:dyDescent="0.25">
      <c r="A523" t="str">
        <f t="shared" si="11"/>
        <v>14</v>
      </c>
      <c r="B523" t="str">
        <f>"14.0803"</f>
        <v>14.0803</v>
      </c>
      <c r="C523" t="s">
        <v>461</v>
      </c>
    </row>
    <row r="524" spans="1:3" x14ac:dyDescent="0.25">
      <c r="A524" t="str">
        <f t="shared" si="11"/>
        <v>14</v>
      </c>
      <c r="B524" t="str">
        <f>"14.0804"</f>
        <v>14.0804</v>
      </c>
      <c r="C524" t="s">
        <v>462</v>
      </c>
    </row>
    <row r="525" spans="1:3" x14ac:dyDescent="0.25">
      <c r="A525" t="str">
        <f t="shared" si="11"/>
        <v>14</v>
      </c>
      <c r="B525" t="str">
        <f>"14.0805"</f>
        <v>14.0805</v>
      </c>
      <c r="C525" t="s">
        <v>463</v>
      </c>
    </row>
    <row r="526" spans="1:3" x14ac:dyDescent="0.25">
      <c r="A526" t="str">
        <f t="shared" si="11"/>
        <v>14</v>
      </c>
      <c r="B526" t="str">
        <f>"14.0899"</f>
        <v>14.0899</v>
      </c>
      <c r="C526" t="s">
        <v>464</v>
      </c>
    </row>
    <row r="527" spans="1:3" x14ac:dyDescent="0.25">
      <c r="A527" t="str">
        <f t="shared" si="11"/>
        <v>14</v>
      </c>
      <c r="B527" t="str">
        <f>"14.09"</f>
        <v>14.09</v>
      </c>
      <c r="C527" t="s">
        <v>465</v>
      </c>
    </row>
    <row r="528" spans="1:3" x14ac:dyDescent="0.25">
      <c r="A528" t="str">
        <f t="shared" si="11"/>
        <v>14</v>
      </c>
      <c r="B528" t="str">
        <f>"14.0901"</f>
        <v>14.0901</v>
      </c>
      <c r="C528" t="s">
        <v>466</v>
      </c>
    </row>
    <row r="529" spans="1:3" x14ac:dyDescent="0.25">
      <c r="A529" t="str">
        <f t="shared" si="11"/>
        <v>14</v>
      </c>
      <c r="B529" t="str">
        <f>"14.0902"</f>
        <v>14.0902</v>
      </c>
      <c r="C529" t="s">
        <v>467</v>
      </c>
    </row>
    <row r="530" spans="1:3" x14ac:dyDescent="0.25">
      <c r="A530" t="str">
        <f t="shared" si="11"/>
        <v>14</v>
      </c>
      <c r="B530" t="str">
        <f>"14.0903"</f>
        <v>14.0903</v>
      </c>
      <c r="C530" t="s">
        <v>468</v>
      </c>
    </row>
    <row r="531" spans="1:3" x14ac:dyDescent="0.25">
      <c r="A531" t="str">
        <f t="shared" si="11"/>
        <v>14</v>
      </c>
      <c r="B531" t="str">
        <f>"14.0999"</f>
        <v>14.0999</v>
      </c>
      <c r="C531" t="s">
        <v>469</v>
      </c>
    </row>
    <row r="532" spans="1:3" x14ac:dyDescent="0.25">
      <c r="A532" t="str">
        <f t="shared" si="11"/>
        <v>14</v>
      </c>
      <c r="B532" t="str">
        <f>"14.10"</f>
        <v>14.10</v>
      </c>
      <c r="C532" t="s">
        <v>1884</v>
      </c>
    </row>
    <row r="533" spans="1:3" x14ac:dyDescent="0.25">
      <c r="A533" t="str">
        <f t="shared" si="11"/>
        <v>14</v>
      </c>
      <c r="B533" t="str">
        <f>"14.1001"</f>
        <v>14.1001</v>
      </c>
      <c r="C533" t="s">
        <v>1885</v>
      </c>
    </row>
    <row r="534" spans="1:3" x14ac:dyDescent="0.25">
      <c r="A534" t="str">
        <f t="shared" si="11"/>
        <v>14</v>
      </c>
      <c r="B534" t="str">
        <f>"14.1003"</f>
        <v>14.1003</v>
      </c>
      <c r="C534" t="s">
        <v>470</v>
      </c>
    </row>
    <row r="535" spans="1:3" x14ac:dyDescent="0.25">
      <c r="A535" t="str">
        <f t="shared" si="11"/>
        <v>14</v>
      </c>
      <c r="B535" t="str">
        <f>"14.1004"</f>
        <v>14.1004</v>
      </c>
      <c r="C535" t="s">
        <v>471</v>
      </c>
    </row>
    <row r="536" spans="1:3" x14ac:dyDescent="0.25">
      <c r="A536" t="str">
        <f t="shared" si="11"/>
        <v>14</v>
      </c>
      <c r="B536" t="str">
        <f>"14.1099"</f>
        <v>14.1099</v>
      </c>
      <c r="C536" t="s">
        <v>1886</v>
      </c>
    </row>
    <row r="537" spans="1:3" x14ac:dyDescent="0.25">
      <c r="A537" t="str">
        <f t="shared" si="11"/>
        <v>14</v>
      </c>
      <c r="B537" t="str">
        <f>"14.11"</f>
        <v>14.11</v>
      </c>
      <c r="C537" t="s">
        <v>472</v>
      </c>
    </row>
    <row r="538" spans="1:3" x14ac:dyDescent="0.25">
      <c r="A538" t="str">
        <f t="shared" si="11"/>
        <v>14</v>
      </c>
      <c r="B538" t="str">
        <f>"14.1101"</f>
        <v>14.1101</v>
      </c>
      <c r="C538" t="s">
        <v>472</v>
      </c>
    </row>
    <row r="539" spans="1:3" x14ac:dyDescent="0.25">
      <c r="A539" t="str">
        <f t="shared" si="11"/>
        <v>14</v>
      </c>
      <c r="B539" t="str">
        <f>"14.12"</f>
        <v>14.12</v>
      </c>
      <c r="C539" t="s">
        <v>473</v>
      </c>
    </row>
    <row r="540" spans="1:3" x14ac:dyDescent="0.25">
      <c r="A540" t="str">
        <f t="shared" si="11"/>
        <v>14</v>
      </c>
      <c r="B540" t="str">
        <f>"14.1201"</f>
        <v>14.1201</v>
      </c>
      <c r="C540" t="s">
        <v>1887</v>
      </c>
    </row>
    <row r="541" spans="1:3" x14ac:dyDescent="0.25">
      <c r="A541" t="str">
        <f t="shared" si="11"/>
        <v>14</v>
      </c>
      <c r="B541" t="str">
        <f>"14.13"</f>
        <v>14.13</v>
      </c>
      <c r="C541" t="s">
        <v>474</v>
      </c>
    </row>
    <row r="542" spans="1:3" x14ac:dyDescent="0.25">
      <c r="A542" t="str">
        <f t="shared" si="11"/>
        <v>14</v>
      </c>
      <c r="B542" t="str">
        <f>"14.1301"</f>
        <v>14.1301</v>
      </c>
      <c r="C542" t="s">
        <v>474</v>
      </c>
    </row>
    <row r="543" spans="1:3" x14ac:dyDescent="0.25">
      <c r="A543" t="str">
        <f t="shared" si="11"/>
        <v>14</v>
      </c>
      <c r="B543" t="str">
        <f>"14.14"</f>
        <v>14.14</v>
      </c>
      <c r="C543" t="s">
        <v>475</v>
      </c>
    </row>
    <row r="544" spans="1:3" x14ac:dyDescent="0.25">
      <c r="A544" t="str">
        <f t="shared" si="11"/>
        <v>14</v>
      </c>
      <c r="B544" t="str">
        <f>"14.1401"</f>
        <v>14.1401</v>
      </c>
      <c r="C544" t="s">
        <v>475</v>
      </c>
    </row>
    <row r="545" spans="1:3" x14ac:dyDescent="0.25">
      <c r="A545" t="str">
        <f t="shared" si="11"/>
        <v>14</v>
      </c>
      <c r="B545" t="str">
        <f>"14.18"</f>
        <v>14.18</v>
      </c>
      <c r="C545" t="s">
        <v>1888</v>
      </c>
    </row>
    <row r="546" spans="1:3" x14ac:dyDescent="0.25">
      <c r="A546" t="str">
        <f t="shared" si="11"/>
        <v>14</v>
      </c>
      <c r="B546" t="str">
        <f>"14.1801"</f>
        <v>14.1801</v>
      </c>
      <c r="C546" t="s">
        <v>1888</v>
      </c>
    </row>
    <row r="547" spans="1:3" x14ac:dyDescent="0.25">
      <c r="A547" t="str">
        <f t="shared" si="11"/>
        <v>14</v>
      </c>
      <c r="B547" t="str">
        <f>"14.19"</f>
        <v>14.19</v>
      </c>
      <c r="C547" t="s">
        <v>476</v>
      </c>
    </row>
    <row r="548" spans="1:3" x14ac:dyDescent="0.25">
      <c r="A548" t="str">
        <f t="shared" si="11"/>
        <v>14</v>
      </c>
      <c r="B548" t="str">
        <f>"14.1901"</f>
        <v>14.1901</v>
      </c>
      <c r="C548" t="s">
        <v>476</v>
      </c>
    </row>
    <row r="549" spans="1:3" x14ac:dyDescent="0.25">
      <c r="A549" t="str">
        <f t="shared" si="11"/>
        <v>14</v>
      </c>
      <c r="B549" t="str">
        <f>"14.20"</f>
        <v>14.20</v>
      </c>
      <c r="C549" t="s">
        <v>477</v>
      </c>
    </row>
    <row r="550" spans="1:3" x14ac:dyDescent="0.25">
      <c r="A550" t="str">
        <f t="shared" si="11"/>
        <v>14</v>
      </c>
      <c r="B550" t="str">
        <f>"14.2001"</f>
        <v>14.2001</v>
      </c>
      <c r="C550" t="s">
        <v>477</v>
      </c>
    </row>
    <row r="551" spans="1:3" x14ac:dyDescent="0.25">
      <c r="A551" t="str">
        <f t="shared" si="11"/>
        <v>14</v>
      </c>
      <c r="B551" t="str">
        <f>"14.21"</f>
        <v>14.21</v>
      </c>
      <c r="C551" t="s">
        <v>478</v>
      </c>
    </row>
    <row r="552" spans="1:3" x14ac:dyDescent="0.25">
      <c r="A552" t="str">
        <f t="shared" si="11"/>
        <v>14</v>
      </c>
      <c r="B552" t="str">
        <f>"14.2101"</f>
        <v>14.2101</v>
      </c>
      <c r="C552" t="s">
        <v>478</v>
      </c>
    </row>
    <row r="553" spans="1:3" x14ac:dyDescent="0.25">
      <c r="A553" t="str">
        <f t="shared" si="11"/>
        <v>14</v>
      </c>
      <c r="B553" t="str">
        <f>"14.22"</f>
        <v>14.22</v>
      </c>
      <c r="C553" t="s">
        <v>479</v>
      </c>
    </row>
    <row r="554" spans="1:3" x14ac:dyDescent="0.25">
      <c r="A554" t="str">
        <f t="shared" si="11"/>
        <v>14</v>
      </c>
      <c r="B554" t="str">
        <f>"14.2201"</f>
        <v>14.2201</v>
      </c>
      <c r="C554" t="s">
        <v>479</v>
      </c>
    </row>
    <row r="555" spans="1:3" x14ac:dyDescent="0.25">
      <c r="A555" t="str">
        <f t="shared" si="11"/>
        <v>14</v>
      </c>
      <c r="B555" t="str">
        <f>"14.23"</f>
        <v>14.23</v>
      </c>
      <c r="C555" t="s">
        <v>480</v>
      </c>
    </row>
    <row r="556" spans="1:3" x14ac:dyDescent="0.25">
      <c r="A556" t="str">
        <f t="shared" si="11"/>
        <v>14</v>
      </c>
      <c r="B556" t="str">
        <f>"14.2301"</f>
        <v>14.2301</v>
      </c>
      <c r="C556" t="s">
        <v>480</v>
      </c>
    </row>
    <row r="557" spans="1:3" x14ac:dyDescent="0.25">
      <c r="A557" t="str">
        <f t="shared" si="11"/>
        <v>14</v>
      </c>
      <c r="B557" t="str">
        <f>"14.24"</f>
        <v>14.24</v>
      </c>
      <c r="C557" t="s">
        <v>481</v>
      </c>
    </row>
    <row r="558" spans="1:3" x14ac:dyDescent="0.25">
      <c r="A558" t="str">
        <f t="shared" si="11"/>
        <v>14</v>
      </c>
      <c r="B558" t="str">
        <f>"14.2401"</f>
        <v>14.2401</v>
      </c>
      <c r="C558" t="s">
        <v>481</v>
      </c>
    </row>
    <row r="559" spans="1:3" x14ac:dyDescent="0.25">
      <c r="A559" t="str">
        <f t="shared" si="11"/>
        <v>14</v>
      </c>
      <c r="B559" t="str">
        <f>"14.25"</f>
        <v>14.25</v>
      </c>
      <c r="C559" t="s">
        <v>482</v>
      </c>
    </row>
    <row r="560" spans="1:3" x14ac:dyDescent="0.25">
      <c r="A560" t="str">
        <f t="shared" si="11"/>
        <v>14</v>
      </c>
      <c r="B560" t="str">
        <f>"14.2501"</f>
        <v>14.2501</v>
      </c>
      <c r="C560" t="s">
        <v>482</v>
      </c>
    </row>
    <row r="561" spans="1:3" x14ac:dyDescent="0.25">
      <c r="A561" t="str">
        <f t="shared" si="11"/>
        <v>14</v>
      </c>
      <c r="B561" t="str">
        <f>"14.27"</f>
        <v>14.27</v>
      </c>
      <c r="C561" t="s">
        <v>483</v>
      </c>
    </row>
    <row r="562" spans="1:3" x14ac:dyDescent="0.25">
      <c r="A562" t="str">
        <f t="shared" si="11"/>
        <v>14</v>
      </c>
      <c r="B562" t="str">
        <f>"14.2701"</f>
        <v>14.2701</v>
      </c>
      <c r="C562" t="s">
        <v>483</v>
      </c>
    </row>
    <row r="563" spans="1:3" x14ac:dyDescent="0.25">
      <c r="A563" t="str">
        <f t="shared" si="11"/>
        <v>14</v>
      </c>
      <c r="B563" t="str">
        <f>"14.28"</f>
        <v>14.28</v>
      </c>
      <c r="C563" t="s">
        <v>484</v>
      </c>
    </row>
    <row r="564" spans="1:3" x14ac:dyDescent="0.25">
      <c r="A564" t="str">
        <f t="shared" ref="A564:A600" si="12">"14"</f>
        <v>14</v>
      </c>
      <c r="B564" t="str">
        <f>"14.2801"</f>
        <v>14.2801</v>
      </c>
      <c r="C564" t="s">
        <v>484</v>
      </c>
    </row>
    <row r="565" spans="1:3" x14ac:dyDescent="0.25">
      <c r="A565" t="str">
        <f t="shared" si="12"/>
        <v>14</v>
      </c>
      <c r="B565" t="str">
        <f>"14.32"</f>
        <v>14.32</v>
      </c>
      <c r="C565" t="s">
        <v>486</v>
      </c>
    </row>
    <row r="566" spans="1:3" x14ac:dyDescent="0.25">
      <c r="A566" t="str">
        <f t="shared" si="12"/>
        <v>14</v>
      </c>
      <c r="B566" t="str">
        <f>"14.3201"</f>
        <v>14.3201</v>
      </c>
      <c r="C566" t="s">
        <v>486</v>
      </c>
    </row>
    <row r="567" spans="1:3" x14ac:dyDescent="0.25">
      <c r="A567" t="str">
        <f t="shared" si="12"/>
        <v>14</v>
      </c>
      <c r="B567" t="str">
        <f>"14.33"</f>
        <v>14.33</v>
      </c>
      <c r="C567" t="s">
        <v>487</v>
      </c>
    </row>
    <row r="568" spans="1:3" x14ac:dyDescent="0.25">
      <c r="A568" t="str">
        <f t="shared" si="12"/>
        <v>14</v>
      </c>
      <c r="B568" t="str">
        <f>"14.3301"</f>
        <v>14.3301</v>
      </c>
      <c r="C568" t="s">
        <v>487</v>
      </c>
    </row>
    <row r="569" spans="1:3" x14ac:dyDescent="0.25">
      <c r="A569" t="str">
        <f t="shared" si="12"/>
        <v>14</v>
      </c>
      <c r="B569" t="str">
        <f>"14.34"</f>
        <v>14.34</v>
      </c>
      <c r="C569" t="s">
        <v>488</v>
      </c>
    </row>
    <row r="570" spans="1:3" x14ac:dyDescent="0.25">
      <c r="A570" t="str">
        <f t="shared" si="12"/>
        <v>14</v>
      </c>
      <c r="B570" t="str">
        <f>"14.3401"</f>
        <v>14.3401</v>
      </c>
      <c r="C570" t="s">
        <v>488</v>
      </c>
    </row>
    <row r="571" spans="1:3" x14ac:dyDescent="0.25">
      <c r="A571" t="str">
        <f t="shared" si="12"/>
        <v>14</v>
      </c>
      <c r="B571" t="str">
        <f>"14.35"</f>
        <v>14.35</v>
      </c>
      <c r="C571" t="s">
        <v>489</v>
      </c>
    </row>
    <row r="572" spans="1:3" x14ac:dyDescent="0.25">
      <c r="A572" t="str">
        <f t="shared" si="12"/>
        <v>14</v>
      </c>
      <c r="B572" t="str">
        <f>"14.3501"</f>
        <v>14.3501</v>
      </c>
      <c r="C572" t="s">
        <v>489</v>
      </c>
    </row>
    <row r="573" spans="1:3" x14ac:dyDescent="0.25">
      <c r="A573" t="str">
        <f t="shared" si="12"/>
        <v>14</v>
      </c>
      <c r="B573" t="str">
        <f>"14.36"</f>
        <v>14.36</v>
      </c>
      <c r="C573" t="s">
        <v>490</v>
      </c>
    </row>
    <row r="574" spans="1:3" x14ac:dyDescent="0.25">
      <c r="A574" t="str">
        <f t="shared" si="12"/>
        <v>14</v>
      </c>
      <c r="B574" t="str">
        <f>"14.3601"</f>
        <v>14.3601</v>
      </c>
      <c r="C574" t="s">
        <v>490</v>
      </c>
    </row>
    <row r="575" spans="1:3" x14ac:dyDescent="0.25">
      <c r="A575" t="str">
        <f t="shared" si="12"/>
        <v>14</v>
      </c>
      <c r="B575" t="str">
        <f>"14.37"</f>
        <v>14.37</v>
      </c>
      <c r="C575" t="s">
        <v>491</v>
      </c>
    </row>
    <row r="576" spans="1:3" x14ac:dyDescent="0.25">
      <c r="A576" t="str">
        <f t="shared" si="12"/>
        <v>14</v>
      </c>
      <c r="B576" t="str">
        <f>"14.3701"</f>
        <v>14.3701</v>
      </c>
      <c r="C576" t="s">
        <v>491</v>
      </c>
    </row>
    <row r="577" spans="1:3" x14ac:dyDescent="0.25">
      <c r="A577" t="str">
        <f t="shared" si="12"/>
        <v>14</v>
      </c>
      <c r="B577" t="str">
        <f>"14.38"</f>
        <v>14.38</v>
      </c>
      <c r="C577" t="s">
        <v>492</v>
      </c>
    </row>
    <row r="578" spans="1:3" x14ac:dyDescent="0.25">
      <c r="A578" t="str">
        <f t="shared" si="12"/>
        <v>14</v>
      </c>
      <c r="B578" t="str">
        <f>"14.3801"</f>
        <v>14.3801</v>
      </c>
      <c r="C578" t="s">
        <v>492</v>
      </c>
    </row>
    <row r="579" spans="1:3" x14ac:dyDescent="0.25">
      <c r="A579" t="str">
        <f t="shared" si="12"/>
        <v>14</v>
      </c>
      <c r="B579" t="str">
        <f>"14.39"</f>
        <v>14.39</v>
      </c>
      <c r="C579" t="s">
        <v>493</v>
      </c>
    </row>
    <row r="580" spans="1:3" x14ac:dyDescent="0.25">
      <c r="A580" t="str">
        <f t="shared" si="12"/>
        <v>14</v>
      </c>
      <c r="B580" t="str">
        <f>"14.3901"</f>
        <v>14.3901</v>
      </c>
      <c r="C580" t="s">
        <v>493</v>
      </c>
    </row>
    <row r="581" spans="1:3" x14ac:dyDescent="0.25">
      <c r="A581" t="str">
        <f t="shared" si="12"/>
        <v>14</v>
      </c>
      <c r="B581" t="str">
        <f>"14.40"</f>
        <v>14.40</v>
      </c>
      <c r="C581" t="s">
        <v>494</v>
      </c>
    </row>
    <row r="582" spans="1:3" x14ac:dyDescent="0.25">
      <c r="A582" t="str">
        <f t="shared" si="12"/>
        <v>14</v>
      </c>
      <c r="B582" t="str">
        <f>"14.4001"</f>
        <v>14.4001</v>
      </c>
      <c r="C582" t="s">
        <v>494</v>
      </c>
    </row>
    <row r="583" spans="1:3" x14ac:dyDescent="0.25">
      <c r="A583" t="str">
        <f t="shared" si="12"/>
        <v>14</v>
      </c>
      <c r="B583" t="str">
        <f>"14.41"</f>
        <v>14.41</v>
      </c>
      <c r="C583" t="s">
        <v>495</v>
      </c>
    </row>
    <row r="584" spans="1:3" x14ac:dyDescent="0.25">
      <c r="A584" t="str">
        <f t="shared" si="12"/>
        <v>14</v>
      </c>
      <c r="B584" t="str">
        <f>"14.4101"</f>
        <v>14.4101</v>
      </c>
      <c r="C584" t="s">
        <v>495</v>
      </c>
    </row>
    <row r="585" spans="1:3" x14ac:dyDescent="0.25">
      <c r="A585" t="str">
        <f t="shared" si="12"/>
        <v>14</v>
      </c>
      <c r="B585" t="str">
        <f>"14.42"</f>
        <v>14.42</v>
      </c>
      <c r="C585" t="s">
        <v>496</v>
      </c>
    </row>
    <row r="586" spans="1:3" x14ac:dyDescent="0.25">
      <c r="A586" t="str">
        <f t="shared" si="12"/>
        <v>14</v>
      </c>
      <c r="B586" t="str">
        <f>"14.4201"</f>
        <v>14.4201</v>
      </c>
      <c r="C586" t="s">
        <v>496</v>
      </c>
    </row>
    <row r="587" spans="1:3" x14ac:dyDescent="0.25">
      <c r="A587" t="str">
        <f t="shared" si="12"/>
        <v>14</v>
      </c>
      <c r="B587" t="str">
        <f>"14.43"</f>
        <v>14.43</v>
      </c>
      <c r="C587" t="s">
        <v>497</v>
      </c>
    </row>
    <row r="588" spans="1:3" x14ac:dyDescent="0.25">
      <c r="A588" t="str">
        <f t="shared" si="12"/>
        <v>14</v>
      </c>
      <c r="B588" t="str">
        <f>"14.4301"</f>
        <v>14.4301</v>
      </c>
      <c r="C588" t="s">
        <v>497</v>
      </c>
    </row>
    <row r="589" spans="1:3" x14ac:dyDescent="0.25">
      <c r="A589" t="str">
        <f t="shared" si="12"/>
        <v>14</v>
      </c>
      <c r="B589" t="str">
        <f>"14.44"</f>
        <v>14.44</v>
      </c>
      <c r="C589" t="s">
        <v>498</v>
      </c>
    </row>
    <row r="590" spans="1:3" x14ac:dyDescent="0.25">
      <c r="A590" t="str">
        <f t="shared" si="12"/>
        <v>14</v>
      </c>
      <c r="B590" t="str">
        <f>"14.4401"</f>
        <v>14.4401</v>
      </c>
      <c r="C590" t="s">
        <v>498</v>
      </c>
    </row>
    <row r="591" spans="1:3" x14ac:dyDescent="0.25">
      <c r="A591" t="str">
        <f t="shared" si="12"/>
        <v>14</v>
      </c>
      <c r="B591" t="str">
        <f>"14.45"</f>
        <v>14.45</v>
      </c>
      <c r="C591" t="s">
        <v>499</v>
      </c>
    </row>
    <row r="592" spans="1:3" x14ac:dyDescent="0.25">
      <c r="A592" t="str">
        <f t="shared" si="12"/>
        <v>14</v>
      </c>
      <c r="B592" t="str">
        <f>"14.4501"</f>
        <v>14.4501</v>
      </c>
      <c r="C592" t="s">
        <v>499</v>
      </c>
    </row>
    <row r="593" spans="1:3" x14ac:dyDescent="0.25">
      <c r="A593" t="str">
        <f t="shared" si="12"/>
        <v>14</v>
      </c>
      <c r="B593" t="str">
        <f>"14.47"</f>
        <v>14.47</v>
      </c>
      <c r="C593" t="s">
        <v>1889</v>
      </c>
    </row>
    <row r="594" spans="1:3" x14ac:dyDescent="0.25">
      <c r="A594" t="str">
        <f t="shared" si="12"/>
        <v>14</v>
      </c>
      <c r="B594" t="str">
        <f>"14.4701"</f>
        <v>14.4701</v>
      </c>
      <c r="C594" t="s">
        <v>1889</v>
      </c>
    </row>
    <row r="595" spans="1:3" x14ac:dyDescent="0.25">
      <c r="A595" t="str">
        <f t="shared" si="12"/>
        <v>14</v>
      </c>
      <c r="B595" t="str">
        <f>"14.48"</f>
        <v>14.48</v>
      </c>
      <c r="C595" t="s">
        <v>1890</v>
      </c>
    </row>
    <row r="596" spans="1:3" x14ac:dyDescent="0.25">
      <c r="A596" t="str">
        <f t="shared" si="12"/>
        <v>14</v>
      </c>
      <c r="B596" t="str">
        <f>"14.4801"</f>
        <v>14.4801</v>
      </c>
      <c r="C596" t="s">
        <v>1891</v>
      </c>
    </row>
    <row r="597" spans="1:3" x14ac:dyDescent="0.25">
      <c r="A597" t="str">
        <f t="shared" si="12"/>
        <v>14</v>
      </c>
      <c r="B597" t="str">
        <f>"14.4802"</f>
        <v>14.4802</v>
      </c>
      <c r="C597" t="s">
        <v>1892</v>
      </c>
    </row>
    <row r="598" spans="1:3" x14ac:dyDescent="0.25">
      <c r="A598" t="str">
        <f t="shared" si="12"/>
        <v>14</v>
      </c>
      <c r="B598" t="str">
        <f>"14.4899"</f>
        <v>14.4899</v>
      </c>
      <c r="C598" t="s">
        <v>1893</v>
      </c>
    </row>
    <row r="599" spans="1:3" x14ac:dyDescent="0.25">
      <c r="A599" t="str">
        <f t="shared" si="12"/>
        <v>14</v>
      </c>
      <c r="B599" t="str">
        <f>"14.99"</f>
        <v>14.99</v>
      </c>
      <c r="C599" t="s">
        <v>500</v>
      </c>
    </row>
    <row r="600" spans="1:3" x14ac:dyDescent="0.25">
      <c r="A600" t="str">
        <f t="shared" si="12"/>
        <v>14</v>
      </c>
      <c r="B600" t="str">
        <f>"14.9999"</f>
        <v>14.9999</v>
      </c>
      <c r="C600" t="s">
        <v>500</v>
      </c>
    </row>
    <row r="601" spans="1:3" x14ac:dyDescent="0.25">
      <c r="A601" t="str">
        <f>"15"</f>
        <v>15</v>
      </c>
      <c r="B601" t="str">
        <f>"15"</f>
        <v>15</v>
      </c>
      <c r="C601" t="s">
        <v>1894</v>
      </c>
    </row>
    <row r="602" spans="1:3" x14ac:dyDescent="0.25">
      <c r="A602" t="str">
        <f t="shared" ref="A602:A665" si="13">"15"</f>
        <v>15</v>
      </c>
      <c r="B602" t="str">
        <f>"15.00"</f>
        <v>15.00</v>
      </c>
      <c r="C602" t="s">
        <v>1895</v>
      </c>
    </row>
    <row r="603" spans="1:3" x14ac:dyDescent="0.25">
      <c r="A603" t="str">
        <f t="shared" si="13"/>
        <v>15</v>
      </c>
      <c r="B603" t="str">
        <f>"15.0000"</f>
        <v>15.0000</v>
      </c>
      <c r="C603" t="s">
        <v>1895</v>
      </c>
    </row>
    <row r="604" spans="1:3" x14ac:dyDescent="0.25">
      <c r="A604" t="str">
        <f t="shared" si="13"/>
        <v>15</v>
      </c>
      <c r="B604" t="str">
        <f>"15.0001"</f>
        <v>15.0001</v>
      </c>
      <c r="C604" t="s">
        <v>1896</v>
      </c>
    </row>
    <row r="605" spans="1:3" x14ac:dyDescent="0.25">
      <c r="A605" t="str">
        <f t="shared" si="13"/>
        <v>15</v>
      </c>
      <c r="B605" t="str">
        <f>"15.01"</f>
        <v>15.01</v>
      </c>
      <c r="C605" t="s">
        <v>501</v>
      </c>
    </row>
    <row r="606" spans="1:3" x14ac:dyDescent="0.25">
      <c r="A606" t="str">
        <f t="shared" si="13"/>
        <v>15</v>
      </c>
      <c r="B606" t="str">
        <f>"15.0101"</f>
        <v>15.0101</v>
      </c>
      <c r="C606" t="s">
        <v>501</v>
      </c>
    </row>
    <row r="607" spans="1:3" x14ac:dyDescent="0.25">
      <c r="A607" t="str">
        <f t="shared" si="13"/>
        <v>15</v>
      </c>
      <c r="B607" t="str">
        <f>"15.02"</f>
        <v>15.02</v>
      </c>
      <c r="C607" t="s">
        <v>502</v>
      </c>
    </row>
    <row r="608" spans="1:3" x14ac:dyDescent="0.25">
      <c r="A608" t="str">
        <f t="shared" si="13"/>
        <v>15</v>
      </c>
      <c r="B608" t="str">
        <f>"15.0201"</f>
        <v>15.0201</v>
      </c>
      <c r="C608" t="s">
        <v>502</v>
      </c>
    </row>
    <row r="609" spans="1:3" x14ac:dyDescent="0.25">
      <c r="A609" t="str">
        <f t="shared" si="13"/>
        <v>15</v>
      </c>
      <c r="B609" t="str">
        <f>"15.03"</f>
        <v>15.03</v>
      </c>
      <c r="C609" t="s">
        <v>1897</v>
      </c>
    </row>
    <row r="610" spans="1:3" x14ac:dyDescent="0.25">
      <c r="A610" t="str">
        <f t="shared" si="13"/>
        <v>15</v>
      </c>
      <c r="B610" t="str">
        <f>"15.0303"</f>
        <v>15.0303</v>
      </c>
      <c r="C610" t="s">
        <v>1898</v>
      </c>
    </row>
    <row r="611" spans="1:3" x14ac:dyDescent="0.25">
      <c r="A611" t="str">
        <f t="shared" si="13"/>
        <v>15</v>
      </c>
      <c r="B611" t="str">
        <f>"15.0304"</f>
        <v>15.0304</v>
      </c>
      <c r="C611" t="s">
        <v>503</v>
      </c>
    </row>
    <row r="612" spans="1:3" x14ac:dyDescent="0.25">
      <c r="A612" t="str">
        <f t="shared" si="13"/>
        <v>15</v>
      </c>
      <c r="B612" t="str">
        <f>"15.0305"</f>
        <v>15.0305</v>
      </c>
      <c r="C612" t="s">
        <v>504</v>
      </c>
    </row>
    <row r="613" spans="1:3" x14ac:dyDescent="0.25">
      <c r="A613" t="str">
        <f t="shared" si="13"/>
        <v>15</v>
      </c>
      <c r="B613" t="str">
        <f>"15.0306"</f>
        <v>15.0306</v>
      </c>
      <c r="C613" t="s">
        <v>1899</v>
      </c>
    </row>
    <row r="614" spans="1:3" x14ac:dyDescent="0.25">
      <c r="A614" t="str">
        <f t="shared" si="13"/>
        <v>15</v>
      </c>
      <c r="B614" t="str">
        <f>"15.0307"</f>
        <v>15.0307</v>
      </c>
      <c r="C614" t="s">
        <v>1900</v>
      </c>
    </row>
    <row r="615" spans="1:3" x14ac:dyDescent="0.25">
      <c r="A615" t="str">
        <f t="shared" si="13"/>
        <v>15</v>
      </c>
      <c r="B615" t="str">
        <f>"15.0399"</f>
        <v>15.0399</v>
      </c>
      <c r="C615" t="s">
        <v>1901</v>
      </c>
    </row>
    <row r="616" spans="1:3" x14ac:dyDescent="0.25">
      <c r="A616" t="str">
        <f t="shared" si="13"/>
        <v>15</v>
      </c>
      <c r="B616" t="str">
        <f>"15.04"</f>
        <v>15.04</v>
      </c>
      <c r="C616" t="s">
        <v>1902</v>
      </c>
    </row>
    <row r="617" spans="1:3" x14ac:dyDescent="0.25">
      <c r="A617" t="str">
        <f t="shared" si="13"/>
        <v>15</v>
      </c>
      <c r="B617" t="str">
        <f>"15.0401"</f>
        <v>15.0401</v>
      </c>
      <c r="C617" t="s">
        <v>505</v>
      </c>
    </row>
    <row r="618" spans="1:3" x14ac:dyDescent="0.25">
      <c r="A618" t="str">
        <f t="shared" si="13"/>
        <v>15</v>
      </c>
      <c r="B618" t="str">
        <f>"15.0403"</f>
        <v>15.0403</v>
      </c>
      <c r="C618" t="s">
        <v>1903</v>
      </c>
    </row>
    <row r="619" spans="1:3" x14ac:dyDescent="0.25">
      <c r="A619" t="str">
        <f t="shared" si="13"/>
        <v>15</v>
      </c>
      <c r="B619" t="str">
        <f>"15.0404"</f>
        <v>15.0404</v>
      </c>
      <c r="C619" t="s">
        <v>506</v>
      </c>
    </row>
    <row r="620" spans="1:3" x14ac:dyDescent="0.25">
      <c r="A620" t="str">
        <f t="shared" si="13"/>
        <v>15</v>
      </c>
      <c r="B620" t="str">
        <f>"15.0405"</f>
        <v>15.0405</v>
      </c>
      <c r="C620" t="s">
        <v>507</v>
      </c>
    </row>
    <row r="621" spans="1:3" x14ac:dyDescent="0.25">
      <c r="A621" t="str">
        <f t="shared" si="13"/>
        <v>15</v>
      </c>
      <c r="B621" t="str">
        <f>"15.0406"</f>
        <v>15.0406</v>
      </c>
      <c r="C621" t="s">
        <v>508</v>
      </c>
    </row>
    <row r="622" spans="1:3" x14ac:dyDescent="0.25">
      <c r="A622" t="str">
        <f t="shared" si="13"/>
        <v>15</v>
      </c>
      <c r="B622" t="str">
        <f>"15.0407"</f>
        <v>15.0407</v>
      </c>
      <c r="C622" t="s">
        <v>1904</v>
      </c>
    </row>
    <row r="623" spans="1:3" x14ac:dyDescent="0.25">
      <c r="A623" t="str">
        <f t="shared" si="13"/>
        <v>15</v>
      </c>
      <c r="B623" t="str">
        <f>"15.0499"</f>
        <v>15.0499</v>
      </c>
      <c r="C623" t="s">
        <v>1905</v>
      </c>
    </row>
    <row r="624" spans="1:3" x14ac:dyDescent="0.25">
      <c r="A624" t="str">
        <f t="shared" si="13"/>
        <v>15</v>
      </c>
      <c r="B624" t="str">
        <f>"15.05"</f>
        <v>15.05</v>
      </c>
      <c r="C624" t="s">
        <v>509</v>
      </c>
    </row>
    <row r="625" spans="1:3" x14ac:dyDescent="0.25">
      <c r="A625" t="str">
        <f t="shared" si="13"/>
        <v>15</v>
      </c>
      <c r="B625" t="str">
        <f>"15.0501"</f>
        <v>15.0501</v>
      </c>
      <c r="C625" t="s">
        <v>510</v>
      </c>
    </row>
    <row r="626" spans="1:3" x14ac:dyDescent="0.25">
      <c r="A626" t="str">
        <f t="shared" si="13"/>
        <v>15</v>
      </c>
      <c r="B626" t="str">
        <f>"15.0503"</f>
        <v>15.0503</v>
      </c>
      <c r="C626" t="s">
        <v>511</v>
      </c>
    </row>
    <row r="627" spans="1:3" x14ac:dyDescent="0.25">
      <c r="A627" t="str">
        <f t="shared" si="13"/>
        <v>15</v>
      </c>
      <c r="B627" t="str">
        <f>"15.0505"</f>
        <v>15.0505</v>
      </c>
      <c r="C627" t="s">
        <v>512</v>
      </c>
    </row>
    <row r="628" spans="1:3" x14ac:dyDescent="0.25">
      <c r="A628" t="str">
        <f t="shared" si="13"/>
        <v>15</v>
      </c>
      <c r="B628" t="str">
        <f>"15.0506"</f>
        <v>15.0506</v>
      </c>
      <c r="C628" t="s">
        <v>513</v>
      </c>
    </row>
    <row r="629" spans="1:3" x14ac:dyDescent="0.25">
      <c r="A629" t="str">
        <f t="shared" si="13"/>
        <v>15</v>
      </c>
      <c r="B629" t="str">
        <f>"15.0507"</f>
        <v>15.0507</v>
      </c>
      <c r="C629" t="s">
        <v>1906</v>
      </c>
    </row>
    <row r="630" spans="1:3" x14ac:dyDescent="0.25">
      <c r="A630" t="str">
        <f t="shared" si="13"/>
        <v>15</v>
      </c>
      <c r="B630" t="str">
        <f>"15.0508"</f>
        <v>15.0508</v>
      </c>
      <c r="C630" t="s">
        <v>514</v>
      </c>
    </row>
    <row r="631" spans="1:3" x14ac:dyDescent="0.25">
      <c r="A631" t="str">
        <f t="shared" si="13"/>
        <v>15</v>
      </c>
      <c r="B631" t="str">
        <f>"15.0599"</f>
        <v>15.0599</v>
      </c>
      <c r="C631" t="s">
        <v>515</v>
      </c>
    </row>
    <row r="632" spans="1:3" x14ac:dyDescent="0.25">
      <c r="A632" t="str">
        <f t="shared" si="13"/>
        <v>15</v>
      </c>
      <c r="B632" t="str">
        <f>"15.06"</f>
        <v>15.06</v>
      </c>
      <c r="C632" t="s">
        <v>516</v>
      </c>
    </row>
    <row r="633" spans="1:3" x14ac:dyDescent="0.25">
      <c r="A633" t="str">
        <f t="shared" si="13"/>
        <v>15</v>
      </c>
      <c r="B633" t="str">
        <f>"15.0607"</f>
        <v>15.0607</v>
      </c>
      <c r="C633" t="s">
        <v>517</v>
      </c>
    </row>
    <row r="634" spans="1:3" x14ac:dyDescent="0.25">
      <c r="A634" t="str">
        <f t="shared" si="13"/>
        <v>15</v>
      </c>
      <c r="B634" t="str">
        <f>"15.0611"</f>
        <v>15.0611</v>
      </c>
      <c r="C634" t="s">
        <v>518</v>
      </c>
    </row>
    <row r="635" spans="1:3" x14ac:dyDescent="0.25">
      <c r="A635" t="str">
        <f t="shared" si="13"/>
        <v>15</v>
      </c>
      <c r="B635" t="str">
        <f>"15.0612"</f>
        <v>15.0612</v>
      </c>
      <c r="C635" t="s">
        <v>519</v>
      </c>
    </row>
    <row r="636" spans="1:3" x14ac:dyDescent="0.25">
      <c r="A636" t="str">
        <f t="shared" si="13"/>
        <v>15</v>
      </c>
      <c r="B636" t="str">
        <f>"15.0613"</f>
        <v>15.0613</v>
      </c>
      <c r="C636" t="s">
        <v>520</v>
      </c>
    </row>
    <row r="637" spans="1:3" x14ac:dyDescent="0.25">
      <c r="A637" t="str">
        <f t="shared" si="13"/>
        <v>15</v>
      </c>
      <c r="B637" t="str">
        <f>"15.0614"</f>
        <v>15.0614</v>
      </c>
      <c r="C637" t="s">
        <v>521</v>
      </c>
    </row>
    <row r="638" spans="1:3" x14ac:dyDescent="0.25">
      <c r="A638" t="str">
        <f t="shared" si="13"/>
        <v>15</v>
      </c>
      <c r="B638" t="str">
        <f>"15.0615"</f>
        <v>15.0615</v>
      </c>
      <c r="C638" t="s">
        <v>522</v>
      </c>
    </row>
    <row r="639" spans="1:3" x14ac:dyDescent="0.25">
      <c r="A639" t="str">
        <f t="shared" si="13"/>
        <v>15</v>
      </c>
      <c r="B639" t="str">
        <f>"15.0616"</f>
        <v>15.0616</v>
      </c>
      <c r="C639" t="s">
        <v>1907</v>
      </c>
    </row>
    <row r="640" spans="1:3" x14ac:dyDescent="0.25">
      <c r="A640" t="str">
        <f t="shared" si="13"/>
        <v>15</v>
      </c>
      <c r="B640" t="str">
        <f>"15.0617"</f>
        <v>15.0617</v>
      </c>
      <c r="C640" t="s">
        <v>1908</v>
      </c>
    </row>
    <row r="641" spans="1:3" x14ac:dyDescent="0.25">
      <c r="A641" t="str">
        <f t="shared" si="13"/>
        <v>15</v>
      </c>
      <c r="B641" t="str">
        <f>"15.0699"</f>
        <v>15.0699</v>
      </c>
      <c r="C641" t="s">
        <v>523</v>
      </c>
    </row>
    <row r="642" spans="1:3" x14ac:dyDescent="0.25">
      <c r="A642" t="str">
        <f t="shared" si="13"/>
        <v>15</v>
      </c>
      <c r="B642" t="str">
        <f>"15.07"</f>
        <v>15.07</v>
      </c>
      <c r="C642" t="s">
        <v>524</v>
      </c>
    </row>
    <row r="643" spans="1:3" x14ac:dyDescent="0.25">
      <c r="A643" t="str">
        <f t="shared" si="13"/>
        <v>15</v>
      </c>
      <c r="B643" t="str">
        <f>"15.0701"</f>
        <v>15.0701</v>
      </c>
      <c r="C643" t="s">
        <v>525</v>
      </c>
    </row>
    <row r="644" spans="1:3" x14ac:dyDescent="0.25">
      <c r="A644" t="str">
        <f t="shared" si="13"/>
        <v>15</v>
      </c>
      <c r="B644" t="str">
        <f>"15.0702"</f>
        <v>15.0702</v>
      </c>
      <c r="C644" t="s">
        <v>526</v>
      </c>
    </row>
    <row r="645" spans="1:3" x14ac:dyDescent="0.25">
      <c r="A645" t="str">
        <f t="shared" si="13"/>
        <v>15</v>
      </c>
      <c r="B645" t="str">
        <f>"15.0703"</f>
        <v>15.0703</v>
      </c>
      <c r="C645" t="s">
        <v>527</v>
      </c>
    </row>
    <row r="646" spans="1:3" x14ac:dyDescent="0.25">
      <c r="A646" t="str">
        <f t="shared" si="13"/>
        <v>15</v>
      </c>
      <c r="B646" t="str">
        <f>"15.0704"</f>
        <v>15.0704</v>
      </c>
      <c r="C646" t="s">
        <v>528</v>
      </c>
    </row>
    <row r="647" spans="1:3" x14ac:dyDescent="0.25">
      <c r="A647" t="str">
        <f t="shared" si="13"/>
        <v>15</v>
      </c>
      <c r="B647" t="str">
        <f>"15.0705"</f>
        <v>15.0705</v>
      </c>
      <c r="C647" t="s">
        <v>1909</v>
      </c>
    </row>
    <row r="648" spans="1:3" x14ac:dyDescent="0.25">
      <c r="A648" t="str">
        <f t="shared" si="13"/>
        <v>15</v>
      </c>
      <c r="B648" t="str">
        <f>"15.0799"</f>
        <v>15.0799</v>
      </c>
      <c r="C648" t="s">
        <v>529</v>
      </c>
    </row>
    <row r="649" spans="1:3" x14ac:dyDescent="0.25">
      <c r="A649" t="str">
        <f t="shared" si="13"/>
        <v>15</v>
      </c>
      <c r="B649" t="str">
        <f>"15.08"</f>
        <v>15.08</v>
      </c>
      <c r="C649" t="s">
        <v>530</v>
      </c>
    </row>
    <row r="650" spans="1:3" x14ac:dyDescent="0.25">
      <c r="A650" t="str">
        <f t="shared" si="13"/>
        <v>15</v>
      </c>
      <c r="B650" t="str">
        <f>"15.0801"</f>
        <v>15.0801</v>
      </c>
      <c r="C650" t="s">
        <v>531</v>
      </c>
    </row>
    <row r="651" spans="1:3" x14ac:dyDescent="0.25">
      <c r="A651" t="str">
        <f t="shared" si="13"/>
        <v>15</v>
      </c>
      <c r="B651" t="str">
        <f>"15.0803"</f>
        <v>15.0803</v>
      </c>
      <c r="C651" t="s">
        <v>532</v>
      </c>
    </row>
    <row r="652" spans="1:3" x14ac:dyDescent="0.25">
      <c r="A652" t="str">
        <f t="shared" si="13"/>
        <v>15</v>
      </c>
      <c r="B652" t="str">
        <f>"15.0805"</f>
        <v>15.0805</v>
      </c>
      <c r="C652" t="s">
        <v>1910</v>
      </c>
    </row>
    <row r="653" spans="1:3" x14ac:dyDescent="0.25">
      <c r="A653" t="str">
        <f t="shared" si="13"/>
        <v>15</v>
      </c>
      <c r="B653" t="str">
        <f>"15.0806"</f>
        <v>15.0806</v>
      </c>
      <c r="C653" t="s">
        <v>1911</v>
      </c>
    </row>
    <row r="654" spans="1:3" x14ac:dyDescent="0.25">
      <c r="A654" t="str">
        <f t="shared" si="13"/>
        <v>15</v>
      </c>
      <c r="B654" t="str">
        <f>"15.0807"</f>
        <v>15.0807</v>
      </c>
      <c r="C654" t="s">
        <v>1912</v>
      </c>
    </row>
    <row r="655" spans="1:3" x14ac:dyDescent="0.25">
      <c r="A655" t="str">
        <f t="shared" si="13"/>
        <v>15</v>
      </c>
      <c r="B655" t="str">
        <f>"15.0899"</f>
        <v>15.0899</v>
      </c>
      <c r="C655" t="s">
        <v>533</v>
      </c>
    </row>
    <row r="656" spans="1:3" x14ac:dyDescent="0.25">
      <c r="A656" t="str">
        <f t="shared" si="13"/>
        <v>15</v>
      </c>
      <c r="B656" t="str">
        <f>"15.09"</f>
        <v>15.09</v>
      </c>
      <c r="C656" t="s">
        <v>534</v>
      </c>
    </row>
    <row r="657" spans="1:3" x14ac:dyDescent="0.25">
      <c r="A657" t="str">
        <f t="shared" si="13"/>
        <v>15</v>
      </c>
      <c r="B657" t="str">
        <f>"15.0901"</f>
        <v>15.0901</v>
      </c>
      <c r="C657" t="s">
        <v>535</v>
      </c>
    </row>
    <row r="658" spans="1:3" x14ac:dyDescent="0.25">
      <c r="A658" t="str">
        <f t="shared" si="13"/>
        <v>15</v>
      </c>
      <c r="B658" t="str">
        <f>"15.0903"</f>
        <v>15.0903</v>
      </c>
      <c r="C658" t="s">
        <v>536</v>
      </c>
    </row>
    <row r="659" spans="1:3" x14ac:dyDescent="0.25">
      <c r="A659" t="str">
        <f t="shared" si="13"/>
        <v>15</v>
      </c>
      <c r="B659" t="str">
        <f>"15.0999"</f>
        <v>15.0999</v>
      </c>
      <c r="C659" t="s">
        <v>537</v>
      </c>
    </row>
    <row r="660" spans="1:3" x14ac:dyDescent="0.25">
      <c r="A660" t="str">
        <f t="shared" si="13"/>
        <v>15</v>
      </c>
      <c r="B660" t="str">
        <f>"15.10"</f>
        <v>15.10</v>
      </c>
      <c r="C660" t="s">
        <v>1913</v>
      </c>
    </row>
    <row r="661" spans="1:3" x14ac:dyDescent="0.25">
      <c r="A661" t="str">
        <f t="shared" si="13"/>
        <v>15</v>
      </c>
      <c r="B661" t="str">
        <f>"15.1001"</f>
        <v>15.1001</v>
      </c>
      <c r="C661" t="s">
        <v>1913</v>
      </c>
    </row>
    <row r="662" spans="1:3" x14ac:dyDescent="0.25">
      <c r="A662" t="str">
        <f t="shared" si="13"/>
        <v>15</v>
      </c>
      <c r="B662" t="str">
        <f>"15.11"</f>
        <v>15.11</v>
      </c>
      <c r="C662" t="s">
        <v>1914</v>
      </c>
    </row>
    <row r="663" spans="1:3" x14ac:dyDescent="0.25">
      <c r="A663" t="str">
        <f t="shared" si="13"/>
        <v>15</v>
      </c>
      <c r="B663" t="str">
        <f>"15.1102"</f>
        <v>15.1102</v>
      </c>
      <c r="C663" t="s">
        <v>538</v>
      </c>
    </row>
    <row r="664" spans="1:3" x14ac:dyDescent="0.25">
      <c r="A664" t="str">
        <f t="shared" si="13"/>
        <v>15</v>
      </c>
      <c r="B664" t="str">
        <f>"15.1103"</f>
        <v>15.1103</v>
      </c>
      <c r="C664" t="s">
        <v>539</v>
      </c>
    </row>
    <row r="665" spans="1:3" x14ac:dyDescent="0.25">
      <c r="A665" t="str">
        <f t="shared" si="13"/>
        <v>15</v>
      </c>
      <c r="B665" t="str">
        <f>"15.1199"</f>
        <v>15.1199</v>
      </c>
      <c r="C665" t="s">
        <v>1915</v>
      </c>
    </row>
    <row r="666" spans="1:3" x14ac:dyDescent="0.25">
      <c r="A666" t="str">
        <f t="shared" ref="A666:A699" si="14">"15"</f>
        <v>15</v>
      </c>
      <c r="B666" t="str">
        <f>"15.12"</f>
        <v>15.12</v>
      </c>
      <c r="C666" t="s">
        <v>540</v>
      </c>
    </row>
    <row r="667" spans="1:3" x14ac:dyDescent="0.25">
      <c r="A667" t="str">
        <f t="shared" si="14"/>
        <v>15</v>
      </c>
      <c r="B667" t="str">
        <f>"15.1201"</f>
        <v>15.1201</v>
      </c>
      <c r="C667" t="s">
        <v>541</v>
      </c>
    </row>
    <row r="668" spans="1:3" x14ac:dyDescent="0.25">
      <c r="A668" t="str">
        <f t="shared" si="14"/>
        <v>15</v>
      </c>
      <c r="B668" t="str">
        <f>"15.1202"</f>
        <v>15.1202</v>
      </c>
      <c r="C668" t="s">
        <v>1916</v>
      </c>
    </row>
    <row r="669" spans="1:3" x14ac:dyDescent="0.25">
      <c r="A669" t="str">
        <f t="shared" si="14"/>
        <v>15</v>
      </c>
      <c r="B669" t="str">
        <f>"15.1203"</f>
        <v>15.1203</v>
      </c>
      <c r="C669" t="s">
        <v>542</v>
      </c>
    </row>
    <row r="670" spans="1:3" x14ac:dyDescent="0.25">
      <c r="A670" t="str">
        <f t="shared" si="14"/>
        <v>15</v>
      </c>
      <c r="B670" t="str">
        <f>"15.1204"</f>
        <v>15.1204</v>
      </c>
      <c r="C670" t="s">
        <v>543</v>
      </c>
    </row>
    <row r="671" spans="1:3" x14ac:dyDescent="0.25">
      <c r="A671" t="str">
        <f t="shared" si="14"/>
        <v>15</v>
      </c>
      <c r="B671" t="str">
        <f>"15.1299"</f>
        <v>15.1299</v>
      </c>
      <c r="C671" t="s">
        <v>544</v>
      </c>
    </row>
    <row r="672" spans="1:3" x14ac:dyDescent="0.25">
      <c r="A672" t="str">
        <f t="shared" si="14"/>
        <v>15</v>
      </c>
      <c r="B672" t="str">
        <f>"15.13"</f>
        <v>15.13</v>
      </c>
      <c r="C672" t="s">
        <v>545</v>
      </c>
    </row>
    <row r="673" spans="1:3" x14ac:dyDescent="0.25">
      <c r="A673" t="str">
        <f t="shared" si="14"/>
        <v>15</v>
      </c>
      <c r="B673" t="str">
        <f>"15.1301"</f>
        <v>15.1301</v>
      </c>
      <c r="C673" t="s">
        <v>546</v>
      </c>
    </row>
    <row r="674" spans="1:3" x14ac:dyDescent="0.25">
      <c r="A674" t="str">
        <f t="shared" si="14"/>
        <v>15</v>
      </c>
      <c r="B674" t="str">
        <f>"15.1302"</f>
        <v>15.1302</v>
      </c>
      <c r="C674" t="s">
        <v>547</v>
      </c>
    </row>
    <row r="675" spans="1:3" x14ac:dyDescent="0.25">
      <c r="A675" t="str">
        <f t="shared" si="14"/>
        <v>15</v>
      </c>
      <c r="B675" t="str">
        <f>"15.1303"</f>
        <v>15.1303</v>
      </c>
      <c r="C675" t="s">
        <v>548</v>
      </c>
    </row>
    <row r="676" spans="1:3" x14ac:dyDescent="0.25">
      <c r="A676" t="str">
        <f t="shared" si="14"/>
        <v>15</v>
      </c>
      <c r="B676" t="str">
        <f>"15.1304"</f>
        <v>15.1304</v>
      </c>
      <c r="C676" t="s">
        <v>549</v>
      </c>
    </row>
    <row r="677" spans="1:3" x14ac:dyDescent="0.25">
      <c r="A677" t="str">
        <f t="shared" si="14"/>
        <v>15</v>
      </c>
      <c r="B677" t="str">
        <f>"15.1305"</f>
        <v>15.1305</v>
      </c>
      <c r="C677" t="s">
        <v>550</v>
      </c>
    </row>
    <row r="678" spans="1:3" x14ac:dyDescent="0.25">
      <c r="A678" t="str">
        <f t="shared" si="14"/>
        <v>15</v>
      </c>
      <c r="B678" t="str">
        <f>"15.1306"</f>
        <v>15.1306</v>
      </c>
      <c r="C678" t="s">
        <v>551</v>
      </c>
    </row>
    <row r="679" spans="1:3" x14ac:dyDescent="0.25">
      <c r="A679" t="str">
        <f t="shared" si="14"/>
        <v>15</v>
      </c>
      <c r="B679" t="str">
        <f>"15.1307"</f>
        <v>15.1307</v>
      </c>
      <c r="C679" t="s">
        <v>1917</v>
      </c>
    </row>
    <row r="680" spans="1:3" x14ac:dyDescent="0.25">
      <c r="A680" t="str">
        <f t="shared" si="14"/>
        <v>15</v>
      </c>
      <c r="B680" t="str">
        <f>"15.1399"</f>
        <v>15.1399</v>
      </c>
      <c r="C680" t="s">
        <v>552</v>
      </c>
    </row>
    <row r="681" spans="1:3" x14ac:dyDescent="0.25">
      <c r="A681" t="str">
        <f t="shared" si="14"/>
        <v>15</v>
      </c>
      <c r="B681" t="str">
        <f>"15.14"</f>
        <v>15.14</v>
      </c>
      <c r="C681" t="s">
        <v>1918</v>
      </c>
    </row>
    <row r="682" spans="1:3" x14ac:dyDescent="0.25">
      <c r="A682" t="str">
        <f t="shared" si="14"/>
        <v>15</v>
      </c>
      <c r="B682" t="str">
        <f>"15.1401"</f>
        <v>15.1401</v>
      </c>
      <c r="C682" t="s">
        <v>1918</v>
      </c>
    </row>
    <row r="683" spans="1:3" x14ac:dyDescent="0.25">
      <c r="A683" t="str">
        <f t="shared" si="14"/>
        <v>15</v>
      </c>
      <c r="B683" t="str">
        <f>"15.15"</f>
        <v>15.15</v>
      </c>
      <c r="C683" t="s">
        <v>553</v>
      </c>
    </row>
    <row r="684" spans="1:3" x14ac:dyDescent="0.25">
      <c r="A684" t="str">
        <f t="shared" si="14"/>
        <v>15</v>
      </c>
      <c r="B684" t="str">
        <f>"15.1501"</f>
        <v>15.1501</v>
      </c>
      <c r="C684" t="s">
        <v>554</v>
      </c>
    </row>
    <row r="685" spans="1:3" x14ac:dyDescent="0.25">
      <c r="A685" t="str">
        <f t="shared" si="14"/>
        <v>15</v>
      </c>
      <c r="B685" t="str">
        <f>"15.1502"</f>
        <v>15.1502</v>
      </c>
      <c r="C685" t="s">
        <v>555</v>
      </c>
    </row>
    <row r="686" spans="1:3" x14ac:dyDescent="0.25">
      <c r="A686" t="str">
        <f t="shared" si="14"/>
        <v>15</v>
      </c>
      <c r="B686" t="str">
        <f>"15.1503"</f>
        <v>15.1503</v>
      </c>
      <c r="C686" t="s">
        <v>556</v>
      </c>
    </row>
    <row r="687" spans="1:3" x14ac:dyDescent="0.25">
      <c r="A687" t="str">
        <f t="shared" si="14"/>
        <v>15</v>
      </c>
      <c r="B687" t="str">
        <f>"15.1599"</f>
        <v>15.1599</v>
      </c>
      <c r="C687" t="s">
        <v>557</v>
      </c>
    </row>
    <row r="688" spans="1:3" x14ac:dyDescent="0.25">
      <c r="A688" t="str">
        <f t="shared" si="14"/>
        <v>15</v>
      </c>
      <c r="B688" t="str">
        <f>"15.16"</f>
        <v>15.16</v>
      </c>
      <c r="C688" t="s">
        <v>558</v>
      </c>
    </row>
    <row r="689" spans="1:3" x14ac:dyDescent="0.25">
      <c r="A689" t="str">
        <f t="shared" si="14"/>
        <v>15</v>
      </c>
      <c r="B689" t="str">
        <f>"15.1601"</f>
        <v>15.1601</v>
      </c>
      <c r="C689" t="s">
        <v>558</v>
      </c>
    </row>
    <row r="690" spans="1:3" x14ac:dyDescent="0.25">
      <c r="A690" t="str">
        <f t="shared" si="14"/>
        <v>15</v>
      </c>
      <c r="B690" t="str">
        <f>"15.17"</f>
        <v>15.17</v>
      </c>
      <c r="C690" t="s">
        <v>1919</v>
      </c>
    </row>
    <row r="691" spans="1:3" x14ac:dyDescent="0.25">
      <c r="A691" t="str">
        <f t="shared" si="14"/>
        <v>15</v>
      </c>
      <c r="B691" t="str">
        <f>"15.1701"</f>
        <v>15.1701</v>
      </c>
      <c r="C691" t="s">
        <v>1920</v>
      </c>
    </row>
    <row r="692" spans="1:3" x14ac:dyDescent="0.25">
      <c r="A692" t="str">
        <f t="shared" si="14"/>
        <v>15</v>
      </c>
      <c r="B692" t="str">
        <f>"15.1702"</f>
        <v>15.1702</v>
      </c>
      <c r="C692" t="s">
        <v>1921</v>
      </c>
    </row>
    <row r="693" spans="1:3" x14ac:dyDescent="0.25">
      <c r="A693" t="str">
        <f t="shared" si="14"/>
        <v>15</v>
      </c>
      <c r="B693" t="str">
        <f>"15.1703"</f>
        <v>15.1703</v>
      </c>
      <c r="C693" t="s">
        <v>512</v>
      </c>
    </row>
    <row r="694" spans="1:3" x14ac:dyDescent="0.25">
      <c r="A694" t="str">
        <f t="shared" si="14"/>
        <v>15</v>
      </c>
      <c r="B694" t="str">
        <f>"15.1704"</f>
        <v>15.1704</v>
      </c>
      <c r="C694" t="s">
        <v>1922</v>
      </c>
    </row>
    <row r="695" spans="1:3" x14ac:dyDescent="0.25">
      <c r="A695" t="str">
        <f t="shared" si="14"/>
        <v>15</v>
      </c>
      <c r="B695" t="str">
        <f>"15.1705"</f>
        <v>15.1705</v>
      </c>
      <c r="C695" t="s">
        <v>1923</v>
      </c>
    </row>
    <row r="696" spans="1:3" x14ac:dyDescent="0.25">
      <c r="A696" t="str">
        <f t="shared" si="14"/>
        <v>15</v>
      </c>
      <c r="B696" t="str">
        <f>"15.1706"</f>
        <v>15.1706</v>
      </c>
      <c r="C696" t="s">
        <v>1924</v>
      </c>
    </row>
    <row r="697" spans="1:3" x14ac:dyDescent="0.25">
      <c r="A697" t="str">
        <f t="shared" si="14"/>
        <v>15</v>
      </c>
      <c r="B697" t="str">
        <f>"15.1799"</f>
        <v>15.1799</v>
      </c>
      <c r="C697" t="s">
        <v>1925</v>
      </c>
    </row>
    <row r="698" spans="1:3" x14ac:dyDescent="0.25">
      <c r="A698" t="str">
        <f t="shared" si="14"/>
        <v>15</v>
      </c>
      <c r="B698" t="str">
        <f>"15.99"</f>
        <v>15.99</v>
      </c>
      <c r="C698" t="s">
        <v>1926</v>
      </c>
    </row>
    <row r="699" spans="1:3" x14ac:dyDescent="0.25">
      <c r="A699" t="str">
        <f t="shared" si="14"/>
        <v>15</v>
      </c>
      <c r="B699" t="str">
        <f>"15.9999"</f>
        <v>15.9999</v>
      </c>
      <c r="C699" t="s">
        <v>1926</v>
      </c>
    </row>
    <row r="700" spans="1:3" x14ac:dyDescent="0.25">
      <c r="A700" t="str">
        <f>"16"</f>
        <v>16</v>
      </c>
      <c r="B700" t="str">
        <f>"16"</f>
        <v>16</v>
      </c>
      <c r="C700" t="s">
        <v>559</v>
      </c>
    </row>
    <row r="701" spans="1:3" x14ac:dyDescent="0.25">
      <c r="A701" t="str">
        <f t="shared" ref="A701:A764" si="15">"16"</f>
        <v>16</v>
      </c>
      <c r="B701" t="str">
        <f>"16.01"</f>
        <v>16.01</v>
      </c>
      <c r="C701" t="s">
        <v>560</v>
      </c>
    </row>
    <row r="702" spans="1:3" x14ac:dyDescent="0.25">
      <c r="A702" t="str">
        <f t="shared" si="15"/>
        <v>16</v>
      </c>
      <c r="B702" t="str">
        <f>"16.0101"</f>
        <v>16.0101</v>
      </c>
      <c r="C702" t="s">
        <v>561</v>
      </c>
    </row>
    <row r="703" spans="1:3" x14ac:dyDescent="0.25">
      <c r="A703" t="str">
        <f t="shared" si="15"/>
        <v>16</v>
      </c>
      <c r="B703" t="str">
        <f>"16.0102"</f>
        <v>16.0102</v>
      </c>
      <c r="C703" t="s">
        <v>562</v>
      </c>
    </row>
    <row r="704" spans="1:3" x14ac:dyDescent="0.25">
      <c r="A704" t="str">
        <f t="shared" si="15"/>
        <v>16</v>
      </c>
      <c r="B704" t="str">
        <f>"16.0103"</f>
        <v>16.0103</v>
      </c>
      <c r="C704" t="s">
        <v>563</v>
      </c>
    </row>
    <row r="705" spans="1:3" x14ac:dyDescent="0.25">
      <c r="A705" t="str">
        <f t="shared" si="15"/>
        <v>16</v>
      </c>
      <c r="B705" t="str">
        <f>"16.0104"</f>
        <v>16.0104</v>
      </c>
      <c r="C705" t="s">
        <v>564</v>
      </c>
    </row>
    <row r="706" spans="1:3" x14ac:dyDescent="0.25">
      <c r="A706" t="str">
        <f t="shared" si="15"/>
        <v>16</v>
      </c>
      <c r="B706" t="str">
        <f>"16.0105"</f>
        <v>16.0105</v>
      </c>
      <c r="C706" t="s">
        <v>565</v>
      </c>
    </row>
    <row r="707" spans="1:3" x14ac:dyDescent="0.25">
      <c r="A707" t="str">
        <f t="shared" si="15"/>
        <v>16</v>
      </c>
      <c r="B707" t="str">
        <f>"16.0199"</f>
        <v>16.0199</v>
      </c>
      <c r="C707" t="s">
        <v>566</v>
      </c>
    </row>
    <row r="708" spans="1:3" x14ac:dyDescent="0.25">
      <c r="A708" t="str">
        <f t="shared" si="15"/>
        <v>16</v>
      </c>
      <c r="B708" t="str">
        <f>"16.02"</f>
        <v>16.02</v>
      </c>
      <c r="C708" t="s">
        <v>567</v>
      </c>
    </row>
    <row r="709" spans="1:3" x14ac:dyDescent="0.25">
      <c r="A709" t="str">
        <f t="shared" si="15"/>
        <v>16</v>
      </c>
      <c r="B709" t="str">
        <f>"16.0201"</f>
        <v>16.0201</v>
      </c>
      <c r="C709" t="s">
        <v>567</v>
      </c>
    </row>
    <row r="710" spans="1:3" x14ac:dyDescent="0.25">
      <c r="A710" t="str">
        <f t="shared" si="15"/>
        <v>16</v>
      </c>
      <c r="B710" t="str">
        <f>"16.03"</f>
        <v>16.03</v>
      </c>
      <c r="C710" t="s">
        <v>568</v>
      </c>
    </row>
    <row r="711" spans="1:3" x14ac:dyDescent="0.25">
      <c r="A711" t="str">
        <f t="shared" si="15"/>
        <v>16</v>
      </c>
      <c r="B711" t="str">
        <f>"16.0300"</f>
        <v>16.0300</v>
      </c>
      <c r="C711" t="s">
        <v>569</v>
      </c>
    </row>
    <row r="712" spans="1:3" x14ac:dyDescent="0.25">
      <c r="A712" t="str">
        <f t="shared" si="15"/>
        <v>16</v>
      </c>
      <c r="B712" t="str">
        <f>"16.0301"</f>
        <v>16.0301</v>
      </c>
      <c r="C712" t="s">
        <v>570</v>
      </c>
    </row>
    <row r="713" spans="1:3" x14ac:dyDescent="0.25">
      <c r="A713" t="str">
        <f t="shared" si="15"/>
        <v>16</v>
      </c>
      <c r="B713" t="str">
        <f>"16.0302"</f>
        <v>16.0302</v>
      </c>
      <c r="C713" t="s">
        <v>571</v>
      </c>
    </row>
    <row r="714" spans="1:3" x14ac:dyDescent="0.25">
      <c r="A714" t="str">
        <f t="shared" si="15"/>
        <v>16</v>
      </c>
      <c r="B714" t="str">
        <f>"16.0303"</f>
        <v>16.0303</v>
      </c>
      <c r="C714" t="s">
        <v>572</v>
      </c>
    </row>
    <row r="715" spans="1:3" x14ac:dyDescent="0.25">
      <c r="A715" t="str">
        <f t="shared" si="15"/>
        <v>16</v>
      </c>
      <c r="B715" t="str">
        <f>"16.0304"</f>
        <v>16.0304</v>
      </c>
      <c r="C715" t="s">
        <v>573</v>
      </c>
    </row>
    <row r="716" spans="1:3" x14ac:dyDescent="0.25">
      <c r="A716" t="str">
        <f t="shared" si="15"/>
        <v>16</v>
      </c>
      <c r="B716" t="str">
        <f>"16.0399"</f>
        <v>16.0399</v>
      </c>
      <c r="C716" t="s">
        <v>574</v>
      </c>
    </row>
    <row r="717" spans="1:3" x14ac:dyDescent="0.25">
      <c r="A717" t="str">
        <f t="shared" si="15"/>
        <v>16</v>
      </c>
      <c r="B717" t="str">
        <f>"16.04"</f>
        <v>16.04</v>
      </c>
      <c r="C717" t="s">
        <v>575</v>
      </c>
    </row>
    <row r="718" spans="1:3" x14ac:dyDescent="0.25">
      <c r="A718" t="str">
        <f t="shared" si="15"/>
        <v>16</v>
      </c>
      <c r="B718" t="str">
        <f>"16.0400"</f>
        <v>16.0400</v>
      </c>
      <c r="C718" t="s">
        <v>576</v>
      </c>
    </row>
    <row r="719" spans="1:3" x14ac:dyDescent="0.25">
      <c r="A719" t="str">
        <f t="shared" si="15"/>
        <v>16</v>
      </c>
      <c r="B719" t="str">
        <f>"16.0401"</f>
        <v>16.0401</v>
      </c>
      <c r="C719" t="s">
        <v>577</v>
      </c>
    </row>
    <row r="720" spans="1:3" x14ac:dyDescent="0.25">
      <c r="A720" t="str">
        <f t="shared" si="15"/>
        <v>16</v>
      </c>
      <c r="B720" t="str">
        <f>"16.0402"</f>
        <v>16.0402</v>
      </c>
      <c r="C720" t="s">
        <v>578</v>
      </c>
    </row>
    <row r="721" spans="1:3" x14ac:dyDescent="0.25">
      <c r="A721" t="str">
        <f t="shared" si="15"/>
        <v>16</v>
      </c>
      <c r="B721" t="str">
        <f>"16.0404"</f>
        <v>16.0404</v>
      </c>
      <c r="C721" t="s">
        <v>579</v>
      </c>
    </row>
    <row r="722" spans="1:3" x14ac:dyDescent="0.25">
      <c r="A722" t="str">
        <f t="shared" si="15"/>
        <v>16</v>
      </c>
      <c r="B722" t="str">
        <f>"16.0405"</f>
        <v>16.0405</v>
      </c>
      <c r="C722" t="s">
        <v>580</v>
      </c>
    </row>
    <row r="723" spans="1:3" x14ac:dyDescent="0.25">
      <c r="A723" t="str">
        <f t="shared" si="15"/>
        <v>16</v>
      </c>
      <c r="B723" t="str">
        <f>"16.0406"</f>
        <v>16.0406</v>
      </c>
      <c r="C723" t="s">
        <v>581</v>
      </c>
    </row>
    <row r="724" spans="1:3" x14ac:dyDescent="0.25">
      <c r="A724" t="str">
        <f t="shared" si="15"/>
        <v>16</v>
      </c>
      <c r="B724" t="str">
        <f>"16.0407"</f>
        <v>16.0407</v>
      </c>
      <c r="C724" t="s">
        <v>582</v>
      </c>
    </row>
    <row r="725" spans="1:3" x14ac:dyDescent="0.25">
      <c r="A725" t="str">
        <f t="shared" si="15"/>
        <v>16</v>
      </c>
      <c r="B725" t="str">
        <f>"16.0408"</f>
        <v>16.0408</v>
      </c>
      <c r="C725" t="s">
        <v>583</v>
      </c>
    </row>
    <row r="726" spans="1:3" x14ac:dyDescent="0.25">
      <c r="A726" t="str">
        <f t="shared" si="15"/>
        <v>16</v>
      </c>
      <c r="B726" t="str">
        <f>"16.0409"</f>
        <v>16.0409</v>
      </c>
      <c r="C726" t="s">
        <v>584</v>
      </c>
    </row>
    <row r="727" spans="1:3" x14ac:dyDescent="0.25">
      <c r="A727" t="str">
        <f t="shared" si="15"/>
        <v>16</v>
      </c>
      <c r="B727" t="str">
        <f>"16.0410"</f>
        <v>16.0410</v>
      </c>
      <c r="C727" t="s">
        <v>585</v>
      </c>
    </row>
    <row r="728" spans="1:3" x14ac:dyDescent="0.25">
      <c r="A728" t="str">
        <f t="shared" si="15"/>
        <v>16</v>
      </c>
      <c r="B728" t="str">
        <f>"16.0499"</f>
        <v>16.0499</v>
      </c>
      <c r="C728" t="s">
        <v>586</v>
      </c>
    </row>
    <row r="729" spans="1:3" x14ac:dyDescent="0.25">
      <c r="A729" t="str">
        <f t="shared" si="15"/>
        <v>16</v>
      </c>
      <c r="B729" t="str">
        <f>"16.05"</f>
        <v>16.05</v>
      </c>
      <c r="C729" t="s">
        <v>587</v>
      </c>
    </row>
    <row r="730" spans="1:3" x14ac:dyDescent="0.25">
      <c r="A730" t="str">
        <f t="shared" si="15"/>
        <v>16</v>
      </c>
      <c r="B730" t="str">
        <f>"16.0500"</f>
        <v>16.0500</v>
      </c>
      <c r="C730" t="s">
        <v>588</v>
      </c>
    </row>
    <row r="731" spans="1:3" x14ac:dyDescent="0.25">
      <c r="A731" t="str">
        <f t="shared" si="15"/>
        <v>16</v>
      </c>
      <c r="B731" t="str">
        <f>"16.0501"</f>
        <v>16.0501</v>
      </c>
      <c r="C731" t="s">
        <v>589</v>
      </c>
    </row>
    <row r="732" spans="1:3" x14ac:dyDescent="0.25">
      <c r="A732" t="str">
        <f t="shared" si="15"/>
        <v>16</v>
      </c>
      <c r="B732" t="str">
        <f>"16.0502"</f>
        <v>16.0502</v>
      </c>
      <c r="C732" t="s">
        <v>590</v>
      </c>
    </row>
    <row r="733" spans="1:3" x14ac:dyDescent="0.25">
      <c r="A733" t="str">
        <f t="shared" si="15"/>
        <v>16</v>
      </c>
      <c r="B733" t="str">
        <f>"16.0503"</f>
        <v>16.0503</v>
      </c>
      <c r="C733" t="s">
        <v>591</v>
      </c>
    </row>
    <row r="734" spans="1:3" x14ac:dyDescent="0.25">
      <c r="A734" t="str">
        <f t="shared" si="15"/>
        <v>16</v>
      </c>
      <c r="B734" t="str">
        <f>"16.0504"</f>
        <v>16.0504</v>
      </c>
      <c r="C734" t="s">
        <v>592</v>
      </c>
    </row>
    <row r="735" spans="1:3" x14ac:dyDescent="0.25">
      <c r="A735" t="str">
        <f t="shared" si="15"/>
        <v>16</v>
      </c>
      <c r="B735" t="str">
        <f>"16.0505"</f>
        <v>16.0505</v>
      </c>
      <c r="C735" t="s">
        <v>593</v>
      </c>
    </row>
    <row r="736" spans="1:3" x14ac:dyDescent="0.25">
      <c r="A736" t="str">
        <f t="shared" si="15"/>
        <v>16</v>
      </c>
      <c r="B736" t="str">
        <f>"16.0506"</f>
        <v>16.0506</v>
      </c>
      <c r="C736" t="s">
        <v>594</v>
      </c>
    </row>
    <row r="737" spans="1:3" x14ac:dyDescent="0.25">
      <c r="A737" t="str">
        <f t="shared" si="15"/>
        <v>16</v>
      </c>
      <c r="B737" t="str">
        <f>"16.0599"</f>
        <v>16.0599</v>
      </c>
      <c r="C737" t="s">
        <v>595</v>
      </c>
    </row>
    <row r="738" spans="1:3" x14ac:dyDescent="0.25">
      <c r="A738" t="str">
        <f t="shared" si="15"/>
        <v>16</v>
      </c>
      <c r="B738" t="str">
        <f>"16.06"</f>
        <v>16.06</v>
      </c>
      <c r="C738" t="s">
        <v>596</v>
      </c>
    </row>
    <row r="739" spans="1:3" x14ac:dyDescent="0.25">
      <c r="A739" t="str">
        <f t="shared" si="15"/>
        <v>16</v>
      </c>
      <c r="B739" t="str">
        <f>"16.0601"</f>
        <v>16.0601</v>
      </c>
      <c r="C739" t="s">
        <v>596</v>
      </c>
    </row>
    <row r="740" spans="1:3" x14ac:dyDescent="0.25">
      <c r="A740" t="str">
        <f t="shared" si="15"/>
        <v>16</v>
      </c>
      <c r="B740" t="str">
        <f>"16.07"</f>
        <v>16.07</v>
      </c>
      <c r="C740" t="s">
        <v>597</v>
      </c>
    </row>
    <row r="741" spans="1:3" x14ac:dyDescent="0.25">
      <c r="A741" t="str">
        <f t="shared" si="15"/>
        <v>16</v>
      </c>
      <c r="B741" t="str">
        <f>"16.0700"</f>
        <v>16.0700</v>
      </c>
      <c r="C741" t="s">
        <v>598</v>
      </c>
    </row>
    <row r="742" spans="1:3" x14ac:dyDescent="0.25">
      <c r="A742" t="str">
        <f t="shared" si="15"/>
        <v>16</v>
      </c>
      <c r="B742" t="str">
        <f>"16.0701"</f>
        <v>16.0701</v>
      </c>
      <c r="C742" t="s">
        <v>599</v>
      </c>
    </row>
    <row r="743" spans="1:3" x14ac:dyDescent="0.25">
      <c r="A743" t="str">
        <f t="shared" si="15"/>
        <v>16</v>
      </c>
      <c r="B743" t="str">
        <f>"16.0702"</f>
        <v>16.0702</v>
      </c>
      <c r="C743" t="s">
        <v>600</v>
      </c>
    </row>
    <row r="744" spans="1:3" x14ac:dyDescent="0.25">
      <c r="A744" t="str">
        <f t="shared" si="15"/>
        <v>16</v>
      </c>
      <c r="B744" t="str">
        <f>"16.0704"</f>
        <v>16.0704</v>
      </c>
      <c r="C744" t="s">
        <v>601</v>
      </c>
    </row>
    <row r="745" spans="1:3" x14ac:dyDescent="0.25">
      <c r="A745" t="str">
        <f t="shared" si="15"/>
        <v>16</v>
      </c>
      <c r="B745" t="str">
        <f>"16.0705"</f>
        <v>16.0705</v>
      </c>
      <c r="C745" t="s">
        <v>602</v>
      </c>
    </row>
    <row r="746" spans="1:3" x14ac:dyDescent="0.25">
      <c r="A746" t="str">
        <f t="shared" si="15"/>
        <v>16</v>
      </c>
      <c r="B746" t="str">
        <f>"16.0706"</f>
        <v>16.0706</v>
      </c>
      <c r="C746" t="s">
        <v>603</v>
      </c>
    </row>
    <row r="747" spans="1:3" x14ac:dyDescent="0.25">
      <c r="A747" t="str">
        <f t="shared" si="15"/>
        <v>16</v>
      </c>
      <c r="B747" t="str">
        <f>"16.0707"</f>
        <v>16.0707</v>
      </c>
      <c r="C747" t="s">
        <v>604</v>
      </c>
    </row>
    <row r="748" spans="1:3" x14ac:dyDescent="0.25">
      <c r="A748" t="str">
        <f t="shared" si="15"/>
        <v>16</v>
      </c>
      <c r="B748" t="str">
        <f>"16.0799"</f>
        <v>16.0799</v>
      </c>
      <c r="C748" t="s">
        <v>605</v>
      </c>
    </row>
    <row r="749" spans="1:3" x14ac:dyDescent="0.25">
      <c r="A749" t="str">
        <f t="shared" si="15"/>
        <v>16</v>
      </c>
      <c r="B749" t="str">
        <f>"16.08"</f>
        <v>16.08</v>
      </c>
      <c r="C749" t="s">
        <v>606</v>
      </c>
    </row>
    <row r="750" spans="1:3" x14ac:dyDescent="0.25">
      <c r="A750" t="str">
        <f t="shared" si="15"/>
        <v>16</v>
      </c>
      <c r="B750" t="str">
        <f>"16.0801"</f>
        <v>16.0801</v>
      </c>
      <c r="C750" t="s">
        <v>1927</v>
      </c>
    </row>
    <row r="751" spans="1:3" x14ac:dyDescent="0.25">
      <c r="A751" t="str">
        <f t="shared" si="15"/>
        <v>16</v>
      </c>
      <c r="B751" t="str">
        <f>"16.09"</f>
        <v>16.09</v>
      </c>
      <c r="C751" t="s">
        <v>607</v>
      </c>
    </row>
    <row r="752" spans="1:3" x14ac:dyDescent="0.25">
      <c r="A752" t="str">
        <f t="shared" si="15"/>
        <v>16</v>
      </c>
      <c r="B752" t="str">
        <f>"16.0900"</f>
        <v>16.0900</v>
      </c>
      <c r="C752" t="s">
        <v>608</v>
      </c>
    </row>
    <row r="753" spans="1:3" x14ac:dyDescent="0.25">
      <c r="A753" t="str">
        <f t="shared" si="15"/>
        <v>16</v>
      </c>
      <c r="B753" t="str">
        <f>"16.0901"</f>
        <v>16.0901</v>
      </c>
      <c r="C753" t="s">
        <v>609</v>
      </c>
    </row>
    <row r="754" spans="1:3" x14ac:dyDescent="0.25">
      <c r="A754" t="str">
        <f t="shared" si="15"/>
        <v>16</v>
      </c>
      <c r="B754" t="str">
        <f>"16.0902"</f>
        <v>16.0902</v>
      </c>
      <c r="C754" t="s">
        <v>610</v>
      </c>
    </row>
    <row r="755" spans="1:3" x14ac:dyDescent="0.25">
      <c r="A755" t="str">
        <f t="shared" si="15"/>
        <v>16</v>
      </c>
      <c r="B755" t="str">
        <f>"16.0904"</f>
        <v>16.0904</v>
      </c>
      <c r="C755" t="s">
        <v>611</v>
      </c>
    </row>
    <row r="756" spans="1:3" x14ac:dyDescent="0.25">
      <c r="A756" t="str">
        <f t="shared" si="15"/>
        <v>16</v>
      </c>
      <c r="B756" t="str">
        <f>"16.0905"</f>
        <v>16.0905</v>
      </c>
      <c r="C756" t="s">
        <v>612</v>
      </c>
    </row>
    <row r="757" spans="1:3" x14ac:dyDescent="0.25">
      <c r="A757" t="str">
        <f t="shared" si="15"/>
        <v>16</v>
      </c>
      <c r="B757" t="str">
        <f>"16.0906"</f>
        <v>16.0906</v>
      </c>
      <c r="C757" t="s">
        <v>613</v>
      </c>
    </row>
    <row r="758" spans="1:3" x14ac:dyDescent="0.25">
      <c r="A758" t="str">
        <f t="shared" si="15"/>
        <v>16</v>
      </c>
      <c r="B758" t="str">
        <f>"16.0907"</f>
        <v>16.0907</v>
      </c>
      <c r="C758" t="s">
        <v>614</v>
      </c>
    </row>
    <row r="759" spans="1:3" x14ac:dyDescent="0.25">
      <c r="A759" t="str">
        <f t="shared" si="15"/>
        <v>16</v>
      </c>
      <c r="B759" t="str">
        <f>"16.0908"</f>
        <v>16.0908</v>
      </c>
      <c r="C759" t="s">
        <v>615</v>
      </c>
    </row>
    <row r="760" spans="1:3" x14ac:dyDescent="0.25">
      <c r="A760" t="str">
        <f t="shared" si="15"/>
        <v>16</v>
      </c>
      <c r="B760" t="str">
        <f>"16.0999"</f>
        <v>16.0999</v>
      </c>
      <c r="C760" t="s">
        <v>616</v>
      </c>
    </row>
    <row r="761" spans="1:3" x14ac:dyDescent="0.25">
      <c r="A761" t="str">
        <f t="shared" si="15"/>
        <v>16</v>
      </c>
      <c r="B761" t="str">
        <f>"16.10"</f>
        <v>16.10</v>
      </c>
      <c r="C761" t="s">
        <v>617</v>
      </c>
    </row>
    <row r="762" spans="1:3" x14ac:dyDescent="0.25">
      <c r="A762" t="str">
        <f t="shared" si="15"/>
        <v>16</v>
      </c>
      <c r="B762" t="str">
        <f>"16.1001"</f>
        <v>16.1001</v>
      </c>
      <c r="C762" t="s">
        <v>617</v>
      </c>
    </row>
    <row r="763" spans="1:3" x14ac:dyDescent="0.25">
      <c r="A763" t="str">
        <f t="shared" si="15"/>
        <v>16</v>
      </c>
      <c r="B763" t="str">
        <f>"16.11"</f>
        <v>16.11</v>
      </c>
      <c r="C763" t="s">
        <v>618</v>
      </c>
    </row>
    <row r="764" spans="1:3" x14ac:dyDescent="0.25">
      <c r="A764" t="str">
        <f t="shared" si="15"/>
        <v>16</v>
      </c>
      <c r="B764" t="str">
        <f>"16.1100"</f>
        <v>16.1100</v>
      </c>
      <c r="C764" t="s">
        <v>619</v>
      </c>
    </row>
    <row r="765" spans="1:3" x14ac:dyDescent="0.25">
      <c r="A765" t="str">
        <f t="shared" ref="A765:A806" si="16">"16"</f>
        <v>16</v>
      </c>
      <c r="B765" t="str">
        <f>"16.1101"</f>
        <v>16.1101</v>
      </c>
      <c r="C765" t="s">
        <v>620</v>
      </c>
    </row>
    <row r="766" spans="1:3" x14ac:dyDescent="0.25">
      <c r="A766" t="str">
        <f t="shared" si="16"/>
        <v>16</v>
      </c>
      <c r="B766" t="str">
        <f>"16.1102"</f>
        <v>16.1102</v>
      </c>
      <c r="C766" t="s">
        <v>621</v>
      </c>
    </row>
    <row r="767" spans="1:3" x14ac:dyDescent="0.25">
      <c r="A767" t="str">
        <f t="shared" si="16"/>
        <v>16</v>
      </c>
      <c r="B767" t="str">
        <f>"16.1103"</f>
        <v>16.1103</v>
      </c>
      <c r="C767" t="s">
        <v>622</v>
      </c>
    </row>
    <row r="768" spans="1:3" x14ac:dyDescent="0.25">
      <c r="A768" t="str">
        <f t="shared" si="16"/>
        <v>16</v>
      </c>
      <c r="B768" t="str">
        <f>"16.1199"</f>
        <v>16.1199</v>
      </c>
      <c r="C768" t="s">
        <v>623</v>
      </c>
    </row>
    <row r="769" spans="1:3" x14ac:dyDescent="0.25">
      <c r="A769" t="str">
        <f t="shared" si="16"/>
        <v>16</v>
      </c>
      <c r="B769" t="str">
        <f>"16.12"</f>
        <v>16.12</v>
      </c>
      <c r="C769" t="s">
        <v>624</v>
      </c>
    </row>
    <row r="770" spans="1:3" x14ac:dyDescent="0.25">
      <c r="A770" t="str">
        <f t="shared" si="16"/>
        <v>16</v>
      </c>
      <c r="B770" t="str">
        <f>"16.1200"</f>
        <v>16.1200</v>
      </c>
      <c r="C770" t="s">
        <v>625</v>
      </c>
    </row>
    <row r="771" spans="1:3" x14ac:dyDescent="0.25">
      <c r="A771" t="str">
        <f t="shared" si="16"/>
        <v>16</v>
      </c>
      <c r="B771" t="str">
        <f>"16.1202"</f>
        <v>16.1202</v>
      </c>
      <c r="C771" t="s">
        <v>626</v>
      </c>
    </row>
    <row r="772" spans="1:3" x14ac:dyDescent="0.25">
      <c r="A772" t="str">
        <f t="shared" si="16"/>
        <v>16</v>
      </c>
      <c r="B772" t="str">
        <f>"16.1203"</f>
        <v>16.1203</v>
      </c>
      <c r="C772" t="s">
        <v>627</v>
      </c>
    </row>
    <row r="773" spans="1:3" x14ac:dyDescent="0.25">
      <c r="A773" t="str">
        <f t="shared" si="16"/>
        <v>16</v>
      </c>
      <c r="B773" t="str">
        <f>"16.1299"</f>
        <v>16.1299</v>
      </c>
      <c r="C773" t="s">
        <v>628</v>
      </c>
    </row>
    <row r="774" spans="1:3" x14ac:dyDescent="0.25">
      <c r="A774" t="str">
        <f t="shared" si="16"/>
        <v>16</v>
      </c>
      <c r="B774" t="str">
        <f>"16.13"</f>
        <v>16.13</v>
      </c>
      <c r="C774" t="s">
        <v>629</v>
      </c>
    </row>
    <row r="775" spans="1:3" x14ac:dyDescent="0.25">
      <c r="A775" t="str">
        <f t="shared" si="16"/>
        <v>16</v>
      </c>
      <c r="B775" t="str">
        <f>"16.1301"</f>
        <v>16.1301</v>
      </c>
      <c r="C775" t="s">
        <v>629</v>
      </c>
    </row>
    <row r="776" spans="1:3" x14ac:dyDescent="0.25">
      <c r="A776" t="str">
        <f t="shared" si="16"/>
        <v>16</v>
      </c>
      <c r="B776" t="str">
        <f>"16.14"</f>
        <v>16.14</v>
      </c>
      <c r="C776" t="s">
        <v>630</v>
      </c>
    </row>
    <row r="777" spans="1:3" x14ac:dyDescent="0.25">
      <c r="A777" t="str">
        <f t="shared" si="16"/>
        <v>16</v>
      </c>
      <c r="B777" t="str">
        <f>"16.1400"</f>
        <v>16.1400</v>
      </c>
      <c r="C777" t="s">
        <v>631</v>
      </c>
    </row>
    <row r="778" spans="1:3" x14ac:dyDescent="0.25">
      <c r="A778" t="str">
        <f t="shared" si="16"/>
        <v>16</v>
      </c>
      <c r="B778" t="str">
        <f>"16.1401"</f>
        <v>16.1401</v>
      </c>
      <c r="C778" t="s">
        <v>632</v>
      </c>
    </row>
    <row r="779" spans="1:3" x14ac:dyDescent="0.25">
      <c r="A779" t="str">
        <f t="shared" si="16"/>
        <v>16</v>
      </c>
      <c r="B779" t="str">
        <f>"16.1402"</f>
        <v>16.1402</v>
      </c>
      <c r="C779" t="s">
        <v>633</v>
      </c>
    </row>
    <row r="780" spans="1:3" x14ac:dyDescent="0.25">
      <c r="A780" t="str">
        <f t="shared" si="16"/>
        <v>16</v>
      </c>
      <c r="B780" t="str">
        <f>"16.1403"</f>
        <v>16.1403</v>
      </c>
      <c r="C780" t="s">
        <v>634</v>
      </c>
    </row>
    <row r="781" spans="1:3" x14ac:dyDescent="0.25">
      <c r="A781" t="str">
        <f t="shared" si="16"/>
        <v>16</v>
      </c>
      <c r="B781" t="str">
        <f>"16.1404"</f>
        <v>16.1404</v>
      </c>
      <c r="C781" t="s">
        <v>635</v>
      </c>
    </row>
    <row r="782" spans="1:3" x14ac:dyDescent="0.25">
      <c r="A782" t="str">
        <f t="shared" si="16"/>
        <v>16</v>
      </c>
      <c r="B782" t="str">
        <f>"16.1405"</f>
        <v>16.1405</v>
      </c>
      <c r="C782" t="s">
        <v>636</v>
      </c>
    </row>
    <row r="783" spans="1:3" x14ac:dyDescent="0.25">
      <c r="A783" t="str">
        <f t="shared" si="16"/>
        <v>16</v>
      </c>
      <c r="B783" t="str">
        <f>"16.1406"</f>
        <v>16.1406</v>
      </c>
      <c r="C783" t="s">
        <v>637</v>
      </c>
    </row>
    <row r="784" spans="1:3" x14ac:dyDescent="0.25">
      <c r="A784" t="str">
        <f t="shared" si="16"/>
        <v>16</v>
      </c>
      <c r="B784" t="str">
        <f>"16.1407"</f>
        <v>16.1407</v>
      </c>
      <c r="C784" t="s">
        <v>638</v>
      </c>
    </row>
    <row r="785" spans="1:3" x14ac:dyDescent="0.25">
      <c r="A785" t="str">
        <f t="shared" si="16"/>
        <v>16</v>
      </c>
      <c r="B785" t="str">
        <f>"16.1408"</f>
        <v>16.1408</v>
      </c>
      <c r="C785" t="s">
        <v>639</v>
      </c>
    </row>
    <row r="786" spans="1:3" x14ac:dyDescent="0.25">
      <c r="A786" t="str">
        <f t="shared" si="16"/>
        <v>16</v>
      </c>
      <c r="B786" t="str">
        <f>"16.1409"</f>
        <v>16.1409</v>
      </c>
      <c r="C786" t="s">
        <v>1928</v>
      </c>
    </row>
    <row r="787" spans="1:3" x14ac:dyDescent="0.25">
      <c r="A787" t="str">
        <f t="shared" si="16"/>
        <v>16</v>
      </c>
      <c r="B787" t="str">
        <f>"16.1499"</f>
        <v>16.1499</v>
      </c>
      <c r="C787" t="s">
        <v>640</v>
      </c>
    </row>
    <row r="788" spans="1:3" x14ac:dyDescent="0.25">
      <c r="A788" t="str">
        <f t="shared" si="16"/>
        <v>16</v>
      </c>
      <c r="B788" t="str">
        <f>"16.15"</f>
        <v>16.15</v>
      </c>
      <c r="C788" t="s">
        <v>641</v>
      </c>
    </row>
    <row r="789" spans="1:3" x14ac:dyDescent="0.25">
      <c r="A789" t="str">
        <f t="shared" si="16"/>
        <v>16</v>
      </c>
      <c r="B789" t="str">
        <f>"16.1501"</f>
        <v>16.1501</v>
      </c>
      <c r="C789" t="s">
        <v>642</v>
      </c>
    </row>
    <row r="790" spans="1:3" x14ac:dyDescent="0.25">
      <c r="A790" t="str">
        <f t="shared" si="16"/>
        <v>16</v>
      </c>
      <c r="B790" t="str">
        <f>"16.1502"</f>
        <v>16.1502</v>
      </c>
      <c r="C790" t="s">
        <v>643</v>
      </c>
    </row>
    <row r="791" spans="1:3" x14ac:dyDescent="0.25">
      <c r="A791" t="str">
        <f t="shared" si="16"/>
        <v>16</v>
      </c>
      <c r="B791" t="str">
        <f>"16.1503"</f>
        <v>16.1503</v>
      </c>
      <c r="C791" t="s">
        <v>644</v>
      </c>
    </row>
    <row r="792" spans="1:3" x14ac:dyDescent="0.25">
      <c r="A792" t="str">
        <f t="shared" si="16"/>
        <v>16</v>
      </c>
      <c r="B792" t="str">
        <f>"16.1504"</f>
        <v>16.1504</v>
      </c>
      <c r="C792" t="s">
        <v>645</v>
      </c>
    </row>
    <row r="793" spans="1:3" x14ac:dyDescent="0.25">
      <c r="A793" t="str">
        <f t="shared" si="16"/>
        <v>16</v>
      </c>
      <c r="B793" t="str">
        <f>"16.1599"</f>
        <v>16.1599</v>
      </c>
      <c r="C793" t="s">
        <v>646</v>
      </c>
    </row>
    <row r="794" spans="1:3" x14ac:dyDescent="0.25">
      <c r="A794" t="str">
        <f t="shared" si="16"/>
        <v>16</v>
      </c>
      <c r="B794" t="str">
        <f>"16.16"</f>
        <v>16.16</v>
      </c>
      <c r="C794" t="s">
        <v>647</v>
      </c>
    </row>
    <row r="795" spans="1:3" x14ac:dyDescent="0.25">
      <c r="A795" t="str">
        <f t="shared" si="16"/>
        <v>16</v>
      </c>
      <c r="B795" t="str">
        <f>"16.1601"</f>
        <v>16.1601</v>
      </c>
      <c r="C795" t="s">
        <v>648</v>
      </c>
    </row>
    <row r="796" spans="1:3" x14ac:dyDescent="0.25">
      <c r="A796" t="str">
        <f t="shared" si="16"/>
        <v>16</v>
      </c>
      <c r="B796" t="str">
        <f>"16.1602"</f>
        <v>16.1602</v>
      </c>
      <c r="C796" t="s">
        <v>649</v>
      </c>
    </row>
    <row r="797" spans="1:3" x14ac:dyDescent="0.25">
      <c r="A797" t="str">
        <f t="shared" si="16"/>
        <v>16</v>
      </c>
      <c r="B797" t="str">
        <f>"16.1603"</f>
        <v>16.1603</v>
      </c>
      <c r="C797" t="s">
        <v>650</v>
      </c>
    </row>
    <row r="798" spans="1:3" x14ac:dyDescent="0.25">
      <c r="A798" t="str">
        <f t="shared" si="16"/>
        <v>16</v>
      </c>
      <c r="B798" t="str">
        <f>"16.1699"</f>
        <v>16.1699</v>
      </c>
      <c r="C798" t="s">
        <v>651</v>
      </c>
    </row>
    <row r="799" spans="1:3" x14ac:dyDescent="0.25">
      <c r="A799" t="str">
        <f t="shared" si="16"/>
        <v>16</v>
      </c>
      <c r="B799" t="str">
        <f>"16.17"</f>
        <v>16.17</v>
      </c>
      <c r="C799" t="s">
        <v>971</v>
      </c>
    </row>
    <row r="800" spans="1:3" x14ac:dyDescent="0.25">
      <c r="A800" t="str">
        <f t="shared" si="16"/>
        <v>16</v>
      </c>
      <c r="B800" t="str">
        <f>"16.1701"</f>
        <v>16.1701</v>
      </c>
      <c r="C800" t="s">
        <v>1929</v>
      </c>
    </row>
    <row r="801" spans="1:3" x14ac:dyDescent="0.25">
      <c r="A801" t="str">
        <f t="shared" si="16"/>
        <v>16</v>
      </c>
      <c r="B801" t="str">
        <f>"16.1702"</f>
        <v>16.1702</v>
      </c>
      <c r="C801" t="s">
        <v>1797</v>
      </c>
    </row>
    <row r="802" spans="1:3" x14ac:dyDescent="0.25">
      <c r="A802" t="str">
        <f t="shared" si="16"/>
        <v>16</v>
      </c>
      <c r="B802" t="str">
        <f>"16.1799"</f>
        <v>16.1799</v>
      </c>
      <c r="C802" t="s">
        <v>1797</v>
      </c>
    </row>
    <row r="803" spans="1:3" x14ac:dyDescent="0.25">
      <c r="A803" t="str">
        <f t="shared" si="16"/>
        <v>16</v>
      </c>
      <c r="B803" t="str">
        <f>"16.18"</f>
        <v>16.18</v>
      </c>
      <c r="C803" t="s">
        <v>1930</v>
      </c>
    </row>
    <row r="804" spans="1:3" x14ac:dyDescent="0.25">
      <c r="A804" t="str">
        <f t="shared" si="16"/>
        <v>16</v>
      </c>
      <c r="B804" t="str">
        <f>"16.1801"</f>
        <v>16.1801</v>
      </c>
      <c r="C804" t="s">
        <v>1931</v>
      </c>
    </row>
    <row r="805" spans="1:3" x14ac:dyDescent="0.25">
      <c r="A805" t="str">
        <f t="shared" si="16"/>
        <v>16</v>
      </c>
      <c r="B805" t="str">
        <f>"16.99"</f>
        <v>16.99</v>
      </c>
      <c r="C805" t="s">
        <v>652</v>
      </c>
    </row>
    <row r="806" spans="1:3" x14ac:dyDescent="0.25">
      <c r="A806" t="str">
        <f t="shared" si="16"/>
        <v>16</v>
      </c>
      <c r="B806" t="str">
        <f>"16.9999"</f>
        <v>16.9999</v>
      </c>
      <c r="C806" t="s">
        <v>652</v>
      </c>
    </row>
    <row r="807" spans="1:3" x14ac:dyDescent="0.25">
      <c r="A807" t="str">
        <f>"19"</f>
        <v>19</v>
      </c>
      <c r="B807" t="str">
        <f>"19"</f>
        <v>19</v>
      </c>
      <c r="C807" t="s">
        <v>653</v>
      </c>
    </row>
    <row r="808" spans="1:3" x14ac:dyDescent="0.25">
      <c r="A808" t="str">
        <f t="shared" ref="A808:A854" si="17">"19"</f>
        <v>19</v>
      </c>
      <c r="B808" t="str">
        <f>"19.00"</f>
        <v>19.00</v>
      </c>
      <c r="C808" t="s">
        <v>654</v>
      </c>
    </row>
    <row r="809" spans="1:3" x14ac:dyDescent="0.25">
      <c r="A809" t="str">
        <f t="shared" si="17"/>
        <v>19</v>
      </c>
      <c r="B809" t="str">
        <f>"19.0000"</f>
        <v>19.0000</v>
      </c>
      <c r="C809" t="s">
        <v>654</v>
      </c>
    </row>
    <row r="810" spans="1:3" x14ac:dyDescent="0.25">
      <c r="A810" t="str">
        <f t="shared" si="17"/>
        <v>19</v>
      </c>
      <c r="B810" t="str">
        <f>"19.01"</f>
        <v>19.01</v>
      </c>
      <c r="C810" t="s">
        <v>655</v>
      </c>
    </row>
    <row r="811" spans="1:3" x14ac:dyDescent="0.25">
      <c r="A811" t="str">
        <f t="shared" si="17"/>
        <v>19</v>
      </c>
      <c r="B811" t="str">
        <f>"19.0101"</f>
        <v>19.0101</v>
      </c>
      <c r="C811" t="s">
        <v>655</v>
      </c>
    </row>
    <row r="812" spans="1:3" x14ac:dyDescent="0.25">
      <c r="A812" t="str">
        <f t="shared" si="17"/>
        <v>19</v>
      </c>
      <c r="B812" t="str">
        <f>"19.02"</f>
        <v>19.02</v>
      </c>
      <c r="C812" t="s">
        <v>656</v>
      </c>
    </row>
    <row r="813" spans="1:3" x14ac:dyDescent="0.25">
      <c r="A813" t="str">
        <f t="shared" si="17"/>
        <v>19</v>
      </c>
      <c r="B813" t="str">
        <f>"19.0201"</f>
        <v>19.0201</v>
      </c>
      <c r="C813" t="s">
        <v>657</v>
      </c>
    </row>
    <row r="814" spans="1:3" x14ac:dyDescent="0.25">
      <c r="A814" t="str">
        <f t="shared" si="17"/>
        <v>19</v>
      </c>
      <c r="B814" t="str">
        <f>"19.0202"</f>
        <v>19.0202</v>
      </c>
      <c r="C814" t="s">
        <v>658</v>
      </c>
    </row>
    <row r="815" spans="1:3" x14ac:dyDescent="0.25">
      <c r="A815" t="str">
        <f t="shared" si="17"/>
        <v>19</v>
      </c>
      <c r="B815" t="str">
        <f>"19.0203"</f>
        <v>19.0203</v>
      </c>
      <c r="C815" t="s">
        <v>659</v>
      </c>
    </row>
    <row r="816" spans="1:3" x14ac:dyDescent="0.25">
      <c r="A816" t="str">
        <f t="shared" si="17"/>
        <v>19</v>
      </c>
      <c r="B816" t="str">
        <f>"19.0299"</f>
        <v>19.0299</v>
      </c>
      <c r="C816" t="s">
        <v>660</v>
      </c>
    </row>
    <row r="817" spans="1:3" x14ac:dyDescent="0.25">
      <c r="A817" t="str">
        <f t="shared" si="17"/>
        <v>19</v>
      </c>
      <c r="B817" t="str">
        <f>"19.04"</f>
        <v>19.04</v>
      </c>
      <c r="C817" t="s">
        <v>661</v>
      </c>
    </row>
    <row r="818" spans="1:3" x14ac:dyDescent="0.25">
      <c r="A818" t="str">
        <f t="shared" si="17"/>
        <v>19</v>
      </c>
      <c r="B818" t="str">
        <f>"19.0401"</f>
        <v>19.0401</v>
      </c>
      <c r="C818" t="s">
        <v>662</v>
      </c>
    </row>
    <row r="819" spans="1:3" x14ac:dyDescent="0.25">
      <c r="A819" t="str">
        <f t="shared" si="17"/>
        <v>19</v>
      </c>
      <c r="B819" t="str">
        <f>"19.0402"</f>
        <v>19.0402</v>
      </c>
      <c r="C819" t="s">
        <v>663</v>
      </c>
    </row>
    <row r="820" spans="1:3" x14ac:dyDescent="0.25">
      <c r="A820" t="str">
        <f t="shared" si="17"/>
        <v>19</v>
      </c>
      <c r="B820" t="str">
        <f>"19.0403"</f>
        <v>19.0403</v>
      </c>
      <c r="C820" t="s">
        <v>664</v>
      </c>
    </row>
    <row r="821" spans="1:3" x14ac:dyDescent="0.25">
      <c r="A821" t="str">
        <f t="shared" si="17"/>
        <v>19</v>
      </c>
      <c r="B821" t="str">
        <f>"19.0499"</f>
        <v>19.0499</v>
      </c>
      <c r="C821" t="s">
        <v>665</v>
      </c>
    </row>
    <row r="822" spans="1:3" x14ac:dyDescent="0.25">
      <c r="A822" t="str">
        <f t="shared" si="17"/>
        <v>19</v>
      </c>
      <c r="B822" t="str">
        <f>"19.05"</f>
        <v>19.05</v>
      </c>
      <c r="C822" t="s">
        <v>666</v>
      </c>
    </row>
    <row r="823" spans="1:3" x14ac:dyDescent="0.25">
      <c r="A823" t="str">
        <f t="shared" si="17"/>
        <v>19</v>
      </c>
      <c r="B823" t="str">
        <f>"19.0501"</f>
        <v>19.0501</v>
      </c>
      <c r="C823" t="s">
        <v>667</v>
      </c>
    </row>
    <row r="824" spans="1:3" x14ac:dyDescent="0.25">
      <c r="A824" t="str">
        <f t="shared" si="17"/>
        <v>19</v>
      </c>
      <c r="B824" t="str">
        <f>"19.0504"</f>
        <v>19.0504</v>
      </c>
      <c r="C824" t="s">
        <v>668</v>
      </c>
    </row>
    <row r="825" spans="1:3" x14ac:dyDescent="0.25">
      <c r="A825" t="str">
        <f t="shared" si="17"/>
        <v>19</v>
      </c>
      <c r="B825" t="str">
        <f>"19.0505"</f>
        <v>19.0505</v>
      </c>
      <c r="C825" t="s">
        <v>669</v>
      </c>
    </row>
    <row r="826" spans="1:3" x14ac:dyDescent="0.25">
      <c r="A826" t="str">
        <f t="shared" si="17"/>
        <v>19</v>
      </c>
      <c r="B826" t="str">
        <f>"19.0599"</f>
        <v>19.0599</v>
      </c>
      <c r="C826" t="s">
        <v>670</v>
      </c>
    </row>
    <row r="827" spans="1:3" x14ac:dyDescent="0.25">
      <c r="A827" t="str">
        <f t="shared" si="17"/>
        <v>19</v>
      </c>
      <c r="B827" t="str">
        <f>"19.06"</f>
        <v>19.06</v>
      </c>
      <c r="C827" t="s">
        <v>671</v>
      </c>
    </row>
    <row r="828" spans="1:3" x14ac:dyDescent="0.25">
      <c r="A828" t="str">
        <f t="shared" si="17"/>
        <v>19</v>
      </c>
      <c r="B828" t="str">
        <f>"19.0601"</f>
        <v>19.0601</v>
      </c>
      <c r="C828" t="s">
        <v>672</v>
      </c>
    </row>
    <row r="829" spans="1:3" x14ac:dyDescent="0.25">
      <c r="A829" t="str">
        <f t="shared" si="17"/>
        <v>19</v>
      </c>
      <c r="B829" t="str">
        <f>"19.0604"</f>
        <v>19.0604</v>
      </c>
      <c r="C829" t="s">
        <v>673</v>
      </c>
    </row>
    <row r="830" spans="1:3" x14ac:dyDescent="0.25">
      <c r="A830" t="str">
        <f t="shared" si="17"/>
        <v>19</v>
      </c>
      <c r="B830" t="str">
        <f>"19.0605"</f>
        <v>19.0605</v>
      </c>
      <c r="C830" t="s">
        <v>674</v>
      </c>
    </row>
    <row r="831" spans="1:3" x14ac:dyDescent="0.25">
      <c r="A831" t="str">
        <f t="shared" si="17"/>
        <v>19</v>
      </c>
      <c r="B831" t="str">
        <f>"19.0699"</f>
        <v>19.0699</v>
      </c>
      <c r="C831" t="s">
        <v>675</v>
      </c>
    </row>
    <row r="832" spans="1:3" x14ac:dyDescent="0.25">
      <c r="A832" t="str">
        <f t="shared" si="17"/>
        <v>19</v>
      </c>
      <c r="B832" t="str">
        <f>"19.07"</f>
        <v>19.07</v>
      </c>
      <c r="C832" t="s">
        <v>676</v>
      </c>
    </row>
    <row r="833" spans="1:3" x14ac:dyDescent="0.25">
      <c r="A833" t="str">
        <f t="shared" si="17"/>
        <v>19</v>
      </c>
      <c r="B833" t="str">
        <f>"19.0701"</f>
        <v>19.0701</v>
      </c>
      <c r="C833" t="s">
        <v>677</v>
      </c>
    </row>
    <row r="834" spans="1:3" x14ac:dyDescent="0.25">
      <c r="A834" t="str">
        <f t="shared" si="17"/>
        <v>19</v>
      </c>
      <c r="B834" t="str">
        <f>"19.0702"</f>
        <v>19.0702</v>
      </c>
      <c r="C834" t="s">
        <v>678</v>
      </c>
    </row>
    <row r="835" spans="1:3" x14ac:dyDescent="0.25">
      <c r="A835" t="str">
        <f t="shared" si="17"/>
        <v>19</v>
      </c>
      <c r="B835" t="str">
        <f>"19.0704"</f>
        <v>19.0704</v>
      </c>
      <c r="C835" t="s">
        <v>679</v>
      </c>
    </row>
    <row r="836" spans="1:3" x14ac:dyDescent="0.25">
      <c r="A836" t="str">
        <f t="shared" si="17"/>
        <v>19</v>
      </c>
      <c r="B836" t="str">
        <f>"19.0706"</f>
        <v>19.0706</v>
      </c>
      <c r="C836" t="s">
        <v>680</v>
      </c>
    </row>
    <row r="837" spans="1:3" x14ac:dyDescent="0.25">
      <c r="A837" t="str">
        <f t="shared" si="17"/>
        <v>19</v>
      </c>
      <c r="B837" t="str">
        <f>"19.0707"</f>
        <v>19.0707</v>
      </c>
      <c r="C837" t="s">
        <v>681</v>
      </c>
    </row>
    <row r="838" spans="1:3" x14ac:dyDescent="0.25">
      <c r="A838" t="str">
        <f t="shared" si="17"/>
        <v>19</v>
      </c>
      <c r="B838" t="str">
        <f>"19.0708"</f>
        <v>19.0708</v>
      </c>
      <c r="C838" t="s">
        <v>682</v>
      </c>
    </row>
    <row r="839" spans="1:3" x14ac:dyDescent="0.25">
      <c r="A839" t="str">
        <f t="shared" si="17"/>
        <v>19</v>
      </c>
      <c r="B839" t="str">
        <f>"19.0709"</f>
        <v>19.0709</v>
      </c>
      <c r="C839" t="s">
        <v>683</v>
      </c>
    </row>
    <row r="840" spans="1:3" x14ac:dyDescent="0.25">
      <c r="A840" t="str">
        <f t="shared" si="17"/>
        <v>19</v>
      </c>
      <c r="B840" t="str">
        <f>"19.0710"</f>
        <v>19.0710</v>
      </c>
      <c r="C840" t="s">
        <v>684</v>
      </c>
    </row>
    <row r="841" spans="1:3" x14ac:dyDescent="0.25">
      <c r="A841" t="str">
        <f t="shared" si="17"/>
        <v>19</v>
      </c>
      <c r="B841" t="str">
        <f>"19.0711"</f>
        <v>19.0711</v>
      </c>
      <c r="C841" t="s">
        <v>1932</v>
      </c>
    </row>
    <row r="842" spans="1:3" x14ac:dyDescent="0.25">
      <c r="A842" t="str">
        <f t="shared" si="17"/>
        <v>19</v>
      </c>
      <c r="B842" t="str">
        <f>"19.0712"</f>
        <v>19.0712</v>
      </c>
      <c r="C842" t="s">
        <v>1933</v>
      </c>
    </row>
    <row r="843" spans="1:3" x14ac:dyDescent="0.25">
      <c r="A843" t="str">
        <f t="shared" si="17"/>
        <v>19</v>
      </c>
      <c r="B843" t="str">
        <f>"19.0799"</f>
        <v>19.0799</v>
      </c>
      <c r="C843" t="s">
        <v>685</v>
      </c>
    </row>
    <row r="844" spans="1:3" x14ac:dyDescent="0.25">
      <c r="A844" t="str">
        <f t="shared" si="17"/>
        <v>19</v>
      </c>
      <c r="B844" t="str">
        <f>"19.09"</f>
        <v>19.09</v>
      </c>
      <c r="C844" t="s">
        <v>686</v>
      </c>
    </row>
    <row r="845" spans="1:3" x14ac:dyDescent="0.25">
      <c r="A845" t="str">
        <f t="shared" si="17"/>
        <v>19</v>
      </c>
      <c r="B845" t="str">
        <f>"19.0901"</f>
        <v>19.0901</v>
      </c>
      <c r="C845" t="s">
        <v>687</v>
      </c>
    </row>
    <row r="846" spans="1:3" x14ac:dyDescent="0.25">
      <c r="A846" t="str">
        <f t="shared" si="17"/>
        <v>19</v>
      </c>
      <c r="B846" t="str">
        <f>"19.0902"</f>
        <v>19.0902</v>
      </c>
      <c r="C846" t="s">
        <v>688</v>
      </c>
    </row>
    <row r="847" spans="1:3" x14ac:dyDescent="0.25">
      <c r="A847" t="str">
        <f t="shared" si="17"/>
        <v>19</v>
      </c>
      <c r="B847" t="str">
        <f>"19.0904"</f>
        <v>19.0904</v>
      </c>
      <c r="C847" t="s">
        <v>689</v>
      </c>
    </row>
    <row r="848" spans="1:3" x14ac:dyDescent="0.25">
      <c r="A848" t="str">
        <f t="shared" si="17"/>
        <v>19</v>
      </c>
      <c r="B848" t="str">
        <f>"19.0905"</f>
        <v>19.0905</v>
      </c>
      <c r="C848" t="s">
        <v>690</v>
      </c>
    </row>
    <row r="849" spans="1:3" x14ac:dyDescent="0.25">
      <c r="A849" t="str">
        <f t="shared" si="17"/>
        <v>19</v>
      </c>
      <c r="B849" t="str">
        <f>"19.0906"</f>
        <v>19.0906</v>
      </c>
      <c r="C849" t="s">
        <v>691</v>
      </c>
    </row>
    <row r="850" spans="1:3" x14ac:dyDescent="0.25">
      <c r="A850" t="str">
        <f t="shared" si="17"/>
        <v>19</v>
      </c>
      <c r="B850" t="str">
        <f>"19.0999"</f>
        <v>19.0999</v>
      </c>
      <c r="C850" t="s">
        <v>692</v>
      </c>
    </row>
    <row r="851" spans="1:3" x14ac:dyDescent="0.25">
      <c r="A851" t="str">
        <f t="shared" si="17"/>
        <v>19</v>
      </c>
      <c r="B851" t="str">
        <f>"19.10"</f>
        <v>19.10</v>
      </c>
      <c r="C851" t="s">
        <v>654</v>
      </c>
    </row>
    <row r="852" spans="1:3" x14ac:dyDescent="0.25">
      <c r="A852" t="str">
        <f t="shared" si="17"/>
        <v>19</v>
      </c>
      <c r="B852" t="str">
        <f>"19.1001"</f>
        <v>19.1001</v>
      </c>
      <c r="C852" t="s">
        <v>654</v>
      </c>
    </row>
    <row r="853" spans="1:3" x14ac:dyDescent="0.25">
      <c r="A853" t="str">
        <f t="shared" si="17"/>
        <v>19</v>
      </c>
      <c r="B853" t="str">
        <f>"19.99"</f>
        <v>19.99</v>
      </c>
      <c r="C853" t="s">
        <v>693</v>
      </c>
    </row>
    <row r="854" spans="1:3" x14ac:dyDescent="0.25">
      <c r="A854" t="str">
        <f t="shared" si="17"/>
        <v>19</v>
      </c>
      <c r="B854" t="str">
        <f>"19.9999"</f>
        <v>19.9999</v>
      </c>
      <c r="C854" t="s">
        <v>693</v>
      </c>
    </row>
    <row r="855" spans="1:3" x14ac:dyDescent="0.25">
      <c r="A855" t="str">
        <f>"21"</f>
        <v>21</v>
      </c>
      <c r="B855" t="str">
        <f>"21"</f>
        <v>21</v>
      </c>
      <c r="C855" t="s">
        <v>1934</v>
      </c>
    </row>
    <row r="856" spans="1:3" x14ac:dyDescent="0.25">
      <c r="A856" t="str">
        <f>"21"</f>
        <v>21</v>
      </c>
      <c r="B856" t="str">
        <f>"21.01"</f>
        <v>21.01</v>
      </c>
      <c r="C856" t="s">
        <v>1797</v>
      </c>
    </row>
    <row r="857" spans="1:3" x14ac:dyDescent="0.25">
      <c r="A857" t="str">
        <f>"21"</f>
        <v>21</v>
      </c>
      <c r="B857" t="str">
        <f>"21.0101"</f>
        <v>21.0101</v>
      </c>
      <c r="C857" t="s">
        <v>1797</v>
      </c>
    </row>
    <row r="858" spans="1:3" x14ac:dyDescent="0.25">
      <c r="A858" t="str">
        <f>"22"</f>
        <v>22</v>
      </c>
      <c r="B858" t="str">
        <f>"22"</f>
        <v>22</v>
      </c>
      <c r="C858" t="s">
        <v>694</v>
      </c>
    </row>
    <row r="859" spans="1:3" x14ac:dyDescent="0.25">
      <c r="A859" t="str">
        <f t="shared" ref="A859:A899" si="18">"22"</f>
        <v>22</v>
      </c>
      <c r="B859" t="str">
        <f>"22.00"</f>
        <v>22.00</v>
      </c>
      <c r="C859" t="s">
        <v>1935</v>
      </c>
    </row>
    <row r="860" spans="1:3" x14ac:dyDescent="0.25">
      <c r="A860" t="str">
        <f t="shared" si="18"/>
        <v>22</v>
      </c>
      <c r="B860" t="str">
        <f>"22.0000"</f>
        <v>22.0000</v>
      </c>
      <c r="C860" t="s">
        <v>1936</v>
      </c>
    </row>
    <row r="861" spans="1:3" x14ac:dyDescent="0.25">
      <c r="A861" t="str">
        <f t="shared" si="18"/>
        <v>22</v>
      </c>
      <c r="B861" t="str">
        <f>"22.0001"</f>
        <v>22.0001</v>
      </c>
      <c r="C861" t="s">
        <v>695</v>
      </c>
    </row>
    <row r="862" spans="1:3" x14ac:dyDescent="0.25">
      <c r="A862" t="str">
        <f t="shared" si="18"/>
        <v>22</v>
      </c>
      <c r="B862" t="str">
        <f>"22.0099"</f>
        <v>22.0099</v>
      </c>
      <c r="C862" t="s">
        <v>1937</v>
      </c>
    </row>
    <row r="863" spans="1:3" x14ac:dyDescent="0.25">
      <c r="A863" t="str">
        <f t="shared" si="18"/>
        <v>22</v>
      </c>
      <c r="B863" t="str">
        <f>"22.01"</f>
        <v>22.01</v>
      </c>
      <c r="C863" t="s">
        <v>696</v>
      </c>
    </row>
    <row r="864" spans="1:3" x14ac:dyDescent="0.25">
      <c r="A864" t="str">
        <f t="shared" si="18"/>
        <v>22</v>
      </c>
      <c r="B864" t="str">
        <f>"22.0101"</f>
        <v>22.0101</v>
      </c>
      <c r="C864" t="s">
        <v>696</v>
      </c>
    </row>
    <row r="865" spans="1:3" x14ac:dyDescent="0.25">
      <c r="A865" t="str">
        <f t="shared" si="18"/>
        <v>22</v>
      </c>
      <c r="B865" t="str">
        <f>"22.02"</f>
        <v>22.02</v>
      </c>
      <c r="C865" t="s">
        <v>697</v>
      </c>
    </row>
    <row r="866" spans="1:3" x14ac:dyDescent="0.25">
      <c r="A866" t="str">
        <f t="shared" si="18"/>
        <v>22</v>
      </c>
      <c r="B866" t="str">
        <f>"22.0201"</f>
        <v>22.0201</v>
      </c>
      <c r="C866" t="s">
        <v>698</v>
      </c>
    </row>
    <row r="867" spans="1:3" x14ac:dyDescent="0.25">
      <c r="A867" t="str">
        <f t="shared" si="18"/>
        <v>22</v>
      </c>
      <c r="B867" t="str">
        <f>"22.0202"</f>
        <v>22.0202</v>
      </c>
      <c r="C867" t="s">
        <v>699</v>
      </c>
    </row>
    <row r="868" spans="1:3" x14ac:dyDescent="0.25">
      <c r="A868" t="str">
        <f t="shared" si="18"/>
        <v>22</v>
      </c>
      <c r="B868" t="str">
        <f>"22.0203"</f>
        <v>22.0203</v>
      </c>
      <c r="C868" t="s">
        <v>700</v>
      </c>
    </row>
    <row r="869" spans="1:3" x14ac:dyDescent="0.25">
      <c r="A869" t="str">
        <f t="shared" si="18"/>
        <v>22</v>
      </c>
      <c r="B869" t="str">
        <f>"22.0204"</f>
        <v>22.0204</v>
      </c>
      <c r="C869" t="s">
        <v>701</v>
      </c>
    </row>
    <row r="870" spans="1:3" x14ac:dyDescent="0.25">
      <c r="A870" t="str">
        <f t="shared" si="18"/>
        <v>22</v>
      </c>
      <c r="B870" t="str">
        <f>"22.0205"</f>
        <v>22.0205</v>
      </c>
      <c r="C870" t="s">
        <v>702</v>
      </c>
    </row>
    <row r="871" spans="1:3" x14ac:dyDescent="0.25">
      <c r="A871" t="str">
        <f t="shared" si="18"/>
        <v>22</v>
      </c>
      <c r="B871" t="str">
        <f>"22.0206"</f>
        <v>22.0206</v>
      </c>
      <c r="C871" t="s">
        <v>703</v>
      </c>
    </row>
    <row r="872" spans="1:3" x14ac:dyDescent="0.25">
      <c r="A872" t="str">
        <f t="shared" si="18"/>
        <v>22</v>
      </c>
      <c r="B872" t="str">
        <f>"22.0207"</f>
        <v>22.0207</v>
      </c>
      <c r="C872" t="s">
        <v>704</v>
      </c>
    </row>
    <row r="873" spans="1:3" x14ac:dyDescent="0.25">
      <c r="A873" t="str">
        <f t="shared" si="18"/>
        <v>22</v>
      </c>
      <c r="B873" t="str">
        <f>"22.0208"</f>
        <v>22.0208</v>
      </c>
      <c r="C873" t="s">
        <v>705</v>
      </c>
    </row>
    <row r="874" spans="1:3" x14ac:dyDescent="0.25">
      <c r="A874" t="str">
        <f t="shared" si="18"/>
        <v>22</v>
      </c>
      <c r="B874" t="str">
        <f>"22.0209"</f>
        <v>22.0209</v>
      </c>
      <c r="C874" t="s">
        <v>706</v>
      </c>
    </row>
    <row r="875" spans="1:3" x14ac:dyDescent="0.25">
      <c r="A875" t="str">
        <f t="shared" si="18"/>
        <v>22</v>
      </c>
      <c r="B875" t="str">
        <f>"22.0210"</f>
        <v>22.0210</v>
      </c>
      <c r="C875" t="s">
        <v>707</v>
      </c>
    </row>
    <row r="876" spans="1:3" x14ac:dyDescent="0.25">
      <c r="A876" t="str">
        <f t="shared" si="18"/>
        <v>22</v>
      </c>
      <c r="B876" t="str">
        <f>"22.0211"</f>
        <v>22.0211</v>
      </c>
      <c r="C876" t="s">
        <v>708</v>
      </c>
    </row>
    <row r="877" spans="1:3" x14ac:dyDescent="0.25">
      <c r="A877" t="str">
        <f t="shared" si="18"/>
        <v>22</v>
      </c>
      <c r="B877" t="str">
        <f>"22.0212"</f>
        <v>22.0212</v>
      </c>
      <c r="C877" t="s">
        <v>709</v>
      </c>
    </row>
    <row r="878" spans="1:3" x14ac:dyDescent="0.25">
      <c r="A878" t="str">
        <f t="shared" si="18"/>
        <v>22</v>
      </c>
      <c r="B878" t="str">
        <f>"22.0213"</f>
        <v>22.0213</v>
      </c>
      <c r="C878" t="s">
        <v>1938</v>
      </c>
    </row>
    <row r="879" spans="1:3" x14ac:dyDescent="0.25">
      <c r="A879" t="str">
        <f t="shared" si="18"/>
        <v>22</v>
      </c>
      <c r="B879" t="str">
        <f>"22.0214"</f>
        <v>22.0214</v>
      </c>
      <c r="C879" t="s">
        <v>1939</v>
      </c>
    </row>
    <row r="880" spans="1:3" x14ac:dyDescent="0.25">
      <c r="A880" t="str">
        <f t="shared" si="18"/>
        <v>22</v>
      </c>
      <c r="B880" t="str">
        <f>"22.0215"</f>
        <v>22.0215</v>
      </c>
      <c r="C880" t="s">
        <v>1940</v>
      </c>
    </row>
    <row r="881" spans="1:3" x14ac:dyDescent="0.25">
      <c r="A881" t="str">
        <f t="shared" si="18"/>
        <v>22</v>
      </c>
      <c r="B881" t="str">
        <f>"22.0216"</f>
        <v>22.0216</v>
      </c>
      <c r="C881" t="s">
        <v>1941</v>
      </c>
    </row>
    <row r="882" spans="1:3" x14ac:dyDescent="0.25">
      <c r="A882" t="str">
        <f t="shared" si="18"/>
        <v>22</v>
      </c>
      <c r="B882" t="str">
        <f>"22.0217"</f>
        <v>22.0217</v>
      </c>
      <c r="C882" t="s">
        <v>1942</v>
      </c>
    </row>
    <row r="883" spans="1:3" x14ac:dyDescent="0.25">
      <c r="A883" t="str">
        <f t="shared" si="18"/>
        <v>22</v>
      </c>
      <c r="B883" t="str">
        <f>"22.0218"</f>
        <v>22.0218</v>
      </c>
      <c r="C883" t="s">
        <v>1943</v>
      </c>
    </row>
    <row r="884" spans="1:3" x14ac:dyDescent="0.25">
      <c r="A884" t="str">
        <f t="shared" si="18"/>
        <v>22</v>
      </c>
      <c r="B884" t="str">
        <f>"22.0219"</f>
        <v>22.0219</v>
      </c>
      <c r="C884" t="s">
        <v>1944</v>
      </c>
    </row>
    <row r="885" spans="1:3" x14ac:dyDescent="0.25">
      <c r="A885" t="str">
        <f t="shared" si="18"/>
        <v>22</v>
      </c>
      <c r="B885" t="str">
        <f>"22.0220"</f>
        <v>22.0220</v>
      </c>
      <c r="C885" t="s">
        <v>1945</v>
      </c>
    </row>
    <row r="886" spans="1:3" x14ac:dyDescent="0.25">
      <c r="A886" t="str">
        <f t="shared" si="18"/>
        <v>22</v>
      </c>
      <c r="B886" t="str">
        <f>"22.0221"</f>
        <v>22.0221</v>
      </c>
      <c r="C886" t="s">
        <v>1946</v>
      </c>
    </row>
    <row r="887" spans="1:3" x14ac:dyDescent="0.25">
      <c r="A887" t="str">
        <f t="shared" si="18"/>
        <v>22</v>
      </c>
      <c r="B887" t="str">
        <f>"22.0222"</f>
        <v>22.0222</v>
      </c>
      <c r="C887" t="s">
        <v>1947</v>
      </c>
    </row>
    <row r="888" spans="1:3" x14ac:dyDescent="0.25">
      <c r="A888" t="str">
        <f t="shared" si="18"/>
        <v>22</v>
      </c>
      <c r="B888" t="str">
        <f>"22.0223"</f>
        <v>22.0223</v>
      </c>
      <c r="C888" t="s">
        <v>1948</v>
      </c>
    </row>
    <row r="889" spans="1:3" x14ac:dyDescent="0.25">
      <c r="A889" t="str">
        <f t="shared" si="18"/>
        <v>22</v>
      </c>
      <c r="B889" t="str">
        <f>"22.0224"</f>
        <v>22.0224</v>
      </c>
      <c r="C889" t="s">
        <v>1949</v>
      </c>
    </row>
    <row r="890" spans="1:3" x14ac:dyDescent="0.25">
      <c r="A890" t="str">
        <f t="shared" si="18"/>
        <v>22</v>
      </c>
      <c r="B890" t="str">
        <f>"22.0299"</f>
        <v>22.0299</v>
      </c>
      <c r="C890" t="s">
        <v>710</v>
      </c>
    </row>
    <row r="891" spans="1:3" x14ac:dyDescent="0.25">
      <c r="A891" t="str">
        <f t="shared" si="18"/>
        <v>22</v>
      </c>
      <c r="B891" t="str">
        <f>"22.03"</f>
        <v>22.03</v>
      </c>
      <c r="C891" t="s">
        <v>711</v>
      </c>
    </row>
    <row r="892" spans="1:3" x14ac:dyDescent="0.25">
      <c r="A892" t="str">
        <f t="shared" si="18"/>
        <v>22</v>
      </c>
      <c r="B892" t="str">
        <f>"22.0301"</f>
        <v>22.0301</v>
      </c>
      <c r="C892" t="s">
        <v>712</v>
      </c>
    </row>
    <row r="893" spans="1:3" x14ac:dyDescent="0.25">
      <c r="A893" t="str">
        <f t="shared" si="18"/>
        <v>22</v>
      </c>
      <c r="B893" t="str">
        <f>"22.0302"</f>
        <v>22.0302</v>
      </c>
      <c r="C893" t="s">
        <v>713</v>
      </c>
    </row>
    <row r="894" spans="1:3" x14ac:dyDescent="0.25">
      <c r="A894" t="str">
        <f t="shared" si="18"/>
        <v>22</v>
      </c>
      <c r="B894" t="str">
        <f>"22.0303"</f>
        <v>22.0303</v>
      </c>
      <c r="C894" t="s">
        <v>1950</v>
      </c>
    </row>
    <row r="895" spans="1:3" x14ac:dyDescent="0.25">
      <c r="A895" t="str">
        <f t="shared" si="18"/>
        <v>22</v>
      </c>
      <c r="B895" t="str">
        <f>"22.0304"</f>
        <v>22.0304</v>
      </c>
      <c r="C895" t="s">
        <v>1951</v>
      </c>
    </row>
    <row r="896" spans="1:3" x14ac:dyDescent="0.25">
      <c r="A896" t="str">
        <f t="shared" si="18"/>
        <v>22</v>
      </c>
      <c r="B896" t="str">
        <f>"22.0305"</f>
        <v>22.0305</v>
      </c>
      <c r="C896" t="s">
        <v>1952</v>
      </c>
    </row>
    <row r="897" spans="1:3" x14ac:dyDescent="0.25">
      <c r="A897" t="str">
        <f t="shared" si="18"/>
        <v>22</v>
      </c>
      <c r="B897" t="str">
        <f>"22.0399"</f>
        <v>22.0399</v>
      </c>
      <c r="C897" t="s">
        <v>714</v>
      </c>
    </row>
    <row r="898" spans="1:3" x14ac:dyDescent="0.25">
      <c r="A898" t="str">
        <f t="shared" si="18"/>
        <v>22</v>
      </c>
      <c r="B898" t="str">
        <f>"22.99"</f>
        <v>22.99</v>
      </c>
      <c r="C898" t="s">
        <v>715</v>
      </c>
    </row>
    <row r="899" spans="1:3" x14ac:dyDescent="0.25">
      <c r="A899" t="str">
        <f t="shared" si="18"/>
        <v>22</v>
      </c>
      <c r="B899" t="str">
        <f>"22.9999"</f>
        <v>22.9999</v>
      </c>
      <c r="C899" t="s">
        <v>715</v>
      </c>
    </row>
    <row r="900" spans="1:3" x14ac:dyDescent="0.25">
      <c r="A900" t="str">
        <f>"23"</f>
        <v>23</v>
      </c>
      <c r="B900" t="str">
        <f>"23"</f>
        <v>23</v>
      </c>
      <c r="C900" t="s">
        <v>716</v>
      </c>
    </row>
    <row r="901" spans="1:3" x14ac:dyDescent="0.25">
      <c r="A901" t="str">
        <f t="shared" ref="A901:A917" si="19">"23"</f>
        <v>23</v>
      </c>
      <c r="B901" t="str">
        <f>"23.01"</f>
        <v>23.01</v>
      </c>
      <c r="C901" t="s">
        <v>717</v>
      </c>
    </row>
    <row r="902" spans="1:3" x14ac:dyDescent="0.25">
      <c r="A902" t="str">
        <f t="shared" si="19"/>
        <v>23</v>
      </c>
      <c r="B902" t="str">
        <f>"23.0101"</f>
        <v>23.0101</v>
      </c>
      <c r="C902" t="s">
        <v>717</v>
      </c>
    </row>
    <row r="903" spans="1:3" x14ac:dyDescent="0.25">
      <c r="A903" t="str">
        <f t="shared" si="19"/>
        <v>23</v>
      </c>
      <c r="B903" t="str">
        <f>"23.13"</f>
        <v>23.13</v>
      </c>
      <c r="C903" t="s">
        <v>722</v>
      </c>
    </row>
    <row r="904" spans="1:3" x14ac:dyDescent="0.25">
      <c r="A904" t="str">
        <f t="shared" si="19"/>
        <v>23</v>
      </c>
      <c r="B904" t="str">
        <f>"23.1301"</f>
        <v>23.1301</v>
      </c>
      <c r="C904" t="s">
        <v>723</v>
      </c>
    </row>
    <row r="905" spans="1:3" x14ac:dyDescent="0.25">
      <c r="A905" t="str">
        <f t="shared" si="19"/>
        <v>23</v>
      </c>
      <c r="B905" t="str">
        <f>"23.1302"</f>
        <v>23.1302</v>
      </c>
      <c r="C905" t="s">
        <v>718</v>
      </c>
    </row>
    <row r="906" spans="1:3" x14ac:dyDescent="0.25">
      <c r="A906" t="str">
        <f t="shared" si="19"/>
        <v>23</v>
      </c>
      <c r="B906" t="str">
        <f>"23.1303"</f>
        <v>23.1303</v>
      </c>
      <c r="C906" t="s">
        <v>724</v>
      </c>
    </row>
    <row r="907" spans="1:3" x14ac:dyDescent="0.25">
      <c r="A907" t="str">
        <f t="shared" si="19"/>
        <v>23</v>
      </c>
      <c r="B907" t="str">
        <f>"23.1304"</f>
        <v>23.1304</v>
      </c>
      <c r="C907" t="s">
        <v>725</v>
      </c>
    </row>
    <row r="908" spans="1:3" x14ac:dyDescent="0.25">
      <c r="A908" t="str">
        <f t="shared" si="19"/>
        <v>23</v>
      </c>
      <c r="B908" t="str">
        <f>"23.1399"</f>
        <v>23.1399</v>
      </c>
      <c r="C908" t="s">
        <v>726</v>
      </c>
    </row>
    <row r="909" spans="1:3" x14ac:dyDescent="0.25">
      <c r="A909" t="str">
        <f t="shared" si="19"/>
        <v>23</v>
      </c>
      <c r="B909" t="str">
        <f>"23.14"</f>
        <v>23.14</v>
      </c>
      <c r="C909" t="s">
        <v>727</v>
      </c>
    </row>
    <row r="910" spans="1:3" x14ac:dyDescent="0.25">
      <c r="A910" t="str">
        <f t="shared" si="19"/>
        <v>23</v>
      </c>
      <c r="B910" t="str">
        <f>"23.1401"</f>
        <v>23.1401</v>
      </c>
      <c r="C910" t="s">
        <v>728</v>
      </c>
    </row>
    <row r="911" spans="1:3" x14ac:dyDescent="0.25">
      <c r="A911" t="str">
        <f t="shared" si="19"/>
        <v>23</v>
      </c>
      <c r="B911" t="str">
        <f>"23.1402"</f>
        <v>23.1402</v>
      </c>
      <c r="C911" t="s">
        <v>719</v>
      </c>
    </row>
    <row r="912" spans="1:3" x14ac:dyDescent="0.25">
      <c r="A912" t="str">
        <f t="shared" si="19"/>
        <v>23</v>
      </c>
      <c r="B912" t="str">
        <f>"23.1403"</f>
        <v>23.1403</v>
      </c>
      <c r="C912" t="s">
        <v>720</v>
      </c>
    </row>
    <row r="913" spans="1:3" x14ac:dyDescent="0.25">
      <c r="A913" t="str">
        <f t="shared" si="19"/>
        <v>23</v>
      </c>
      <c r="B913" t="str">
        <f>"23.1404"</f>
        <v>23.1404</v>
      </c>
      <c r="C913" t="s">
        <v>721</v>
      </c>
    </row>
    <row r="914" spans="1:3" x14ac:dyDescent="0.25">
      <c r="A914" t="str">
        <f t="shared" si="19"/>
        <v>23</v>
      </c>
      <c r="B914" t="str">
        <f>"23.1405"</f>
        <v>23.1405</v>
      </c>
      <c r="C914" t="s">
        <v>729</v>
      </c>
    </row>
    <row r="915" spans="1:3" x14ac:dyDescent="0.25">
      <c r="A915" t="str">
        <f t="shared" si="19"/>
        <v>23</v>
      </c>
      <c r="B915" t="str">
        <f>"23.1499"</f>
        <v>23.1499</v>
      </c>
      <c r="C915" t="s">
        <v>730</v>
      </c>
    </row>
    <row r="916" spans="1:3" x14ac:dyDescent="0.25">
      <c r="A916" t="str">
        <f t="shared" si="19"/>
        <v>23</v>
      </c>
      <c r="B916" t="str">
        <f>"23.99"</f>
        <v>23.99</v>
      </c>
      <c r="C916" t="s">
        <v>731</v>
      </c>
    </row>
    <row r="917" spans="1:3" x14ac:dyDescent="0.25">
      <c r="A917" t="str">
        <f t="shared" si="19"/>
        <v>23</v>
      </c>
      <c r="B917" t="str">
        <f>"23.9999"</f>
        <v>23.9999</v>
      </c>
      <c r="C917" t="s">
        <v>731</v>
      </c>
    </row>
    <row r="918" spans="1:3" x14ac:dyDescent="0.25">
      <c r="A918" t="str">
        <f>"24"</f>
        <v>24</v>
      </c>
      <c r="B918" t="str">
        <f>"24"</f>
        <v>24</v>
      </c>
      <c r="C918" t="s">
        <v>732</v>
      </c>
    </row>
    <row r="919" spans="1:3" x14ac:dyDescent="0.25">
      <c r="A919" t="str">
        <f>"24"</f>
        <v>24</v>
      </c>
      <c r="B919" t="str">
        <f>"24.01"</f>
        <v>24.01</v>
      </c>
      <c r="C919" t="s">
        <v>733</v>
      </c>
    </row>
    <row r="920" spans="1:3" x14ac:dyDescent="0.25">
      <c r="A920" t="str">
        <f>"24"</f>
        <v>24</v>
      </c>
      <c r="B920" t="str">
        <f>"24.0101"</f>
        <v>24.0101</v>
      </c>
      <c r="C920" t="s">
        <v>734</v>
      </c>
    </row>
    <row r="921" spans="1:3" x14ac:dyDescent="0.25">
      <c r="A921" t="str">
        <f>"24"</f>
        <v>24</v>
      </c>
      <c r="B921" t="str">
        <f>"24.0102"</f>
        <v>24.0102</v>
      </c>
      <c r="C921" t="s">
        <v>735</v>
      </c>
    </row>
    <row r="922" spans="1:3" x14ac:dyDescent="0.25">
      <c r="A922" t="str">
        <f>"24"</f>
        <v>24</v>
      </c>
      <c r="B922" t="str">
        <f>"24.0103"</f>
        <v>24.0103</v>
      </c>
      <c r="C922" t="s">
        <v>736</v>
      </c>
    </row>
    <row r="923" spans="1:3" x14ac:dyDescent="0.25">
      <c r="A923" t="str">
        <f>"24"</f>
        <v>24</v>
      </c>
      <c r="B923" t="str">
        <f>"24.0199"</f>
        <v>24.0199</v>
      </c>
      <c r="C923" t="s">
        <v>737</v>
      </c>
    </row>
    <row r="924" spans="1:3" x14ac:dyDescent="0.25">
      <c r="A924" t="str">
        <f>"25"</f>
        <v>25</v>
      </c>
      <c r="B924" t="str">
        <f>"25"</f>
        <v>25</v>
      </c>
      <c r="C924" t="s">
        <v>738</v>
      </c>
    </row>
    <row r="925" spans="1:3" x14ac:dyDescent="0.25">
      <c r="A925" t="str">
        <f t="shared" ref="A925:A933" si="20">"25"</f>
        <v>25</v>
      </c>
      <c r="B925" t="str">
        <f>"25.01"</f>
        <v>25.01</v>
      </c>
      <c r="C925" t="s">
        <v>739</v>
      </c>
    </row>
    <row r="926" spans="1:3" x14ac:dyDescent="0.25">
      <c r="A926" t="str">
        <f t="shared" si="20"/>
        <v>25</v>
      </c>
      <c r="B926" t="str">
        <f>"25.0101"</f>
        <v>25.0101</v>
      </c>
      <c r="C926" t="s">
        <v>740</v>
      </c>
    </row>
    <row r="927" spans="1:3" x14ac:dyDescent="0.25">
      <c r="A927" t="str">
        <f t="shared" si="20"/>
        <v>25</v>
      </c>
      <c r="B927" t="str">
        <f>"25.0102"</f>
        <v>25.0102</v>
      </c>
      <c r="C927" t="s">
        <v>741</v>
      </c>
    </row>
    <row r="928" spans="1:3" x14ac:dyDescent="0.25">
      <c r="A928" t="str">
        <f t="shared" si="20"/>
        <v>25</v>
      </c>
      <c r="B928" t="str">
        <f>"25.0103"</f>
        <v>25.0103</v>
      </c>
      <c r="C928" t="s">
        <v>742</v>
      </c>
    </row>
    <row r="929" spans="1:3" x14ac:dyDescent="0.25">
      <c r="A929" t="str">
        <f t="shared" si="20"/>
        <v>25</v>
      </c>
      <c r="B929" t="str">
        <f>"25.0199"</f>
        <v>25.0199</v>
      </c>
      <c r="C929" t="s">
        <v>743</v>
      </c>
    </row>
    <row r="930" spans="1:3" x14ac:dyDescent="0.25">
      <c r="A930" t="str">
        <f t="shared" si="20"/>
        <v>25</v>
      </c>
      <c r="B930" t="str">
        <f>"25.03"</f>
        <v>25.03</v>
      </c>
      <c r="C930" t="s">
        <v>744</v>
      </c>
    </row>
    <row r="931" spans="1:3" x14ac:dyDescent="0.25">
      <c r="A931" t="str">
        <f t="shared" si="20"/>
        <v>25</v>
      </c>
      <c r="B931" t="str">
        <f>"25.0301"</f>
        <v>25.0301</v>
      </c>
      <c r="C931" t="s">
        <v>744</v>
      </c>
    </row>
    <row r="932" spans="1:3" x14ac:dyDescent="0.25">
      <c r="A932" t="str">
        <f t="shared" si="20"/>
        <v>25</v>
      </c>
      <c r="B932" t="str">
        <f>"25.99"</f>
        <v>25.99</v>
      </c>
      <c r="C932" t="s">
        <v>745</v>
      </c>
    </row>
    <row r="933" spans="1:3" x14ac:dyDescent="0.25">
      <c r="A933" t="str">
        <f t="shared" si="20"/>
        <v>25</v>
      </c>
      <c r="B933" t="str">
        <f>"25.9999"</f>
        <v>25.9999</v>
      </c>
      <c r="C933" t="s">
        <v>745</v>
      </c>
    </row>
    <row r="934" spans="1:3" x14ac:dyDescent="0.25">
      <c r="A934" t="str">
        <f>"26"</f>
        <v>26</v>
      </c>
      <c r="B934" t="str">
        <f>"26"</f>
        <v>26</v>
      </c>
      <c r="C934" t="s">
        <v>746</v>
      </c>
    </row>
    <row r="935" spans="1:3" x14ac:dyDescent="0.25">
      <c r="A935" t="str">
        <f t="shared" ref="A935:A998" si="21">"26"</f>
        <v>26</v>
      </c>
      <c r="B935" t="str">
        <f>"26.01"</f>
        <v>26.01</v>
      </c>
      <c r="C935" t="s">
        <v>747</v>
      </c>
    </row>
    <row r="936" spans="1:3" x14ac:dyDescent="0.25">
      <c r="A936" t="str">
        <f t="shared" si="21"/>
        <v>26</v>
      </c>
      <c r="B936" t="str">
        <f>"26.0101"</f>
        <v>26.0101</v>
      </c>
      <c r="C936" t="s">
        <v>748</v>
      </c>
    </row>
    <row r="937" spans="1:3" x14ac:dyDescent="0.25">
      <c r="A937" t="str">
        <f t="shared" si="21"/>
        <v>26</v>
      </c>
      <c r="B937" t="str">
        <f>"26.0102"</f>
        <v>26.0102</v>
      </c>
      <c r="C937" t="s">
        <v>749</v>
      </c>
    </row>
    <row r="938" spans="1:3" x14ac:dyDescent="0.25">
      <c r="A938" t="str">
        <f t="shared" si="21"/>
        <v>26</v>
      </c>
      <c r="B938" t="str">
        <f>"26.02"</f>
        <v>26.02</v>
      </c>
      <c r="C938" t="s">
        <v>750</v>
      </c>
    </row>
    <row r="939" spans="1:3" x14ac:dyDescent="0.25">
      <c r="A939" t="str">
        <f t="shared" si="21"/>
        <v>26</v>
      </c>
      <c r="B939" t="str">
        <f>"26.0202"</f>
        <v>26.0202</v>
      </c>
      <c r="C939" t="s">
        <v>751</v>
      </c>
    </row>
    <row r="940" spans="1:3" x14ac:dyDescent="0.25">
      <c r="A940" t="str">
        <f t="shared" si="21"/>
        <v>26</v>
      </c>
      <c r="B940" t="str">
        <f>"26.0203"</f>
        <v>26.0203</v>
      </c>
      <c r="C940" t="s">
        <v>752</v>
      </c>
    </row>
    <row r="941" spans="1:3" x14ac:dyDescent="0.25">
      <c r="A941" t="str">
        <f t="shared" si="21"/>
        <v>26</v>
      </c>
      <c r="B941" t="str">
        <f>"26.0204"</f>
        <v>26.0204</v>
      </c>
      <c r="C941" t="s">
        <v>753</v>
      </c>
    </row>
    <row r="942" spans="1:3" x14ac:dyDescent="0.25">
      <c r="A942" t="str">
        <f t="shared" si="21"/>
        <v>26</v>
      </c>
      <c r="B942" t="str">
        <f>"26.0205"</f>
        <v>26.0205</v>
      </c>
      <c r="C942" t="s">
        <v>754</v>
      </c>
    </row>
    <row r="943" spans="1:3" x14ac:dyDescent="0.25">
      <c r="A943" t="str">
        <f t="shared" si="21"/>
        <v>26</v>
      </c>
      <c r="B943" t="str">
        <f>"26.0206"</f>
        <v>26.0206</v>
      </c>
      <c r="C943" t="s">
        <v>755</v>
      </c>
    </row>
    <row r="944" spans="1:3" x14ac:dyDescent="0.25">
      <c r="A944" t="str">
        <f t="shared" si="21"/>
        <v>26</v>
      </c>
      <c r="B944" t="str">
        <f>"26.0207"</f>
        <v>26.0207</v>
      </c>
      <c r="C944" t="s">
        <v>756</v>
      </c>
    </row>
    <row r="945" spans="1:3" x14ac:dyDescent="0.25">
      <c r="A945" t="str">
        <f t="shared" si="21"/>
        <v>26</v>
      </c>
      <c r="B945" t="str">
        <f>"26.0208"</f>
        <v>26.0208</v>
      </c>
      <c r="C945" t="s">
        <v>757</v>
      </c>
    </row>
    <row r="946" spans="1:3" x14ac:dyDescent="0.25">
      <c r="A946" t="str">
        <f t="shared" si="21"/>
        <v>26</v>
      </c>
      <c r="B946" t="str">
        <f>"26.0209"</f>
        <v>26.0209</v>
      </c>
      <c r="C946" t="s">
        <v>758</v>
      </c>
    </row>
    <row r="947" spans="1:3" x14ac:dyDescent="0.25">
      <c r="A947" t="str">
        <f t="shared" si="21"/>
        <v>26</v>
      </c>
      <c r="B947" t="str">
        <f>"26.0210"</f>
        <v>26.0210</v>
      </c>
      <c r="C947" t="s">
        <v>759</v>
      </c>
    </row>
    <row r="948" spans="1:3" x14ac:dyDescent="0.25">
      <c r="A948" t="str">
        <f t="shared" si="21"/>
        <v>26</v>
      </c>
      <c r="B948" t="str">
        <f>"26.0299"</f>
        <v>26.0299</v>
      </c>
      <c r="C948" t="s">
        <v>760</v>
      </c>
    </row>
    <row r="949" spans="1:3" x14ac:dyDescent="0.25">
      <c r="A949" t="str">
        <f t="shared" si="21"/>
        <v>26</v>
      </c>
      <c r="B949" t="str">
        <f>"26.03"</f>
        <v>26.03</v>
      </c>
      <c r="C949" t="s">
        <v>761</v>
      </c>
    </row>
    <row r="950" spans="1:3" x14ac:dyDescent="0.25">
      <c r="A950" t="str">
        <f t="shared" si="21"/>
        <v>26</v>
      </c>
      <c r="B950" t="str">
        <f>"26.0301"</f>
        <v>26.0301</v>
      </c>
      <c r="C950" t="s">
        <v>761</v>
      </c>
    </row>
    <row r="951" spans="1:3" x14ac:dyDescent="0.25">
      <c r="A951" t="str">
        <f t="shared" si="21"/>
        <v>26</v>
      </c>
      <c r="B951" t="str">
        <f>"26.0305"</f>
        <v>26.0305</v>
      </c>
      <c r="C951" t="s">
        <v>762</v>
      </c>
    </row>
    <row r="952" spans="1:3" x14ac:dyDescent="0.25">
      <c r="A952" t="str">
        <f t="shared" si="21"/>
        <v>26</v>
      </c>
      <c r="B952" t="str">
        <f>"26.0307"</f>
        <v>26.0307</v>
      </c>
      <c r="C952" t="s">
        <v>763</v>
      </c>
    </row>
    <row r="953" spans="1:3" x14ac:dyDescent="0.25">
      <c r="A953" t="str">
        <f t="shared" si="21"/>
        <v>26</v>
      </c>
      <c r="B953" t="str">
        <f>"26.0308"</f>
        <v>26.0308</v>
      </c>
      <c r="C953" t="s">
        <v>764</v>
      </c>
    </row>
    <row r="954" spans="1:3" x14ac:dyDescent="0.25">
      <c r="A954" t="str">
        <f t="shared" si="21"/>
        <v>26</v>
      </c>
      <c r="B954" t="str">
        <f>"26.0399"</f>
        <v>26.0399</v>
      </c>
      <c r="C954" t="s">
        <v>765</v>
      </c>
    </row>
    <row r="955" spans="1:3" x14ac:dyDescent="0.25">
      <c r="A955" t="str">
        <f t="shared" si="21"/>
        <v>26</v>
      </c>
      <c r="B955" t="str">
        <f>"26.04"</f>
        <v>26.04</v>
      </c>
      <c r="C955" t="s">
        <v>766</v>
      </c>
    </row>
    <row r="956" spans="1:3" x14ac:dyDescent="0.25">
      <c r="A956" t="str">
        <f t="shared" si="21"/>
        <v>26</v>
      </c>
      <c r="B956" t="str">
        <f>"26.0401"</f>
        <v>26.0401</v>
      </c>
      <c r="C956" t="s">
        <v>767</v>
      </c>
    </row>
    <row r="957" spans="1:3" x14ac:dyDescent="0.25">
      <c r="A957" t="str">
        <f t="shared" si="21"/>
        <v>26</v>
      </c>
      <c r="B957" t="str">
        <f>"26.0403"</f>
        <v>26.0403</v>
      </c>
      <c r="C957" t="s">
        <v>768</v>
      </c>
    </row>
    <row r="958" spans="1:3" x14ac:dyDescent="0.25">
      <c r="A958" t="str">
        <f t="shared" si="21"/>
        <v>26</v>
      </c>
      <c r="B958" t="str">
        <f>"26.0404"</f>
        <v>26.0404</v>
      </c>
      <c r="C958" t="s">
        <v>769</v>
      </c>
    </row>
    <row r="959" spans="1:3" x14ac:dyDescent="0.25">
      <c r="A959" t="str">
        <f t="shared" si="21"/>
        <v>26</v>
      </c>
      <c r="B959" t="str">
        <f>"26.0406"</f>
        <v>26.0406</v>
      </c>
      <c r="C959" t="s">
        <v>771</v>
      </c>
    </row>
    <row r="960" spans="1:3" x14ac:dyDescent="0.25">
      <c r="A960" t="str">
        <f t="shared" si="21"/>
        <v>26</v>
      </c>
      <c r="B960" t="str">
        <f>"26.0407"</f>
        <v>26.0407</v>
      </c>
      <c r="C960" t="s">
        <v>772</v>
      </c>
    </row>
    <row r="961" spans="1:3" x14ac:dyDescent="0.25">
      <c r="A961" t="str">
        <f t="shared" si="21"/>
        <v>26</v>
      </c>
      <c r="B961" t="str">
        <f>"26.0499"</f>
        <v>26.0499</v>
      </c>
      <c r="C961" t="s">
        <v>773</v>
      </c>
    </row>
    <row r="962" spans="1:3" x14ac:dyDescent="0.25">
      <c r="A962" t="str">
        <f t="shared" si="21"/>
        <v>26</v>
      </c>
      <c r="B962" t="str">
        <f>"26.05"</f>
        <v>26.05</v>
      </c>
      <c r="C962" t="s">
        <v>774</v>
      </c>
    </row>
    <row r="963" spans="1:3" x14ac:dyDescent="0.25">
      <c r="A963" t="str">
        <f t="shared" si="21"/>
        <v>26</v>
      </c>
      <c r="B963" t="str">
        <f>"26.0502"</f>
        <v>26.0502</v>
      </c>
      <c r="C963" t="s">
        <v>775</v>
      </c>
    </row>
    <row r="964" spans="1:3" x14ac:dyDescent="0.25">
      <c r="A964" t="str">
        <f t="shared" si="21"/>
        <v>26</v>
      </c>
      <c r="B964" t="str">
        <f>"26.0503"</f>
        <v>26.0503</v>
      </c>
      <c r="C964" t="s">
        <v>776</v>
      </c>
    </row>
    <row r="965" spans="1:3" x14ac:dyDescent="0.25">
      <c r="A965" t="str">
        <f t="shared" si="21"/>
        <v>26</v>
      </c>
      <c r="B965" t="str">
        <f>"26.0504"</f>
        <v>26.0504</v>
      </c>
      <c r="C965" t="s">
        <v>777</v>
      </c>
    </row>
    <row r="966" spans="1:3" x14ac:dyDescent="0.25">
      <c r="A966" t="str">
        <f t="shared" si="21"/>
        <v>26</v>
      </c>
      <c r="B966" t="str">
        <f>"26.0505"</f>
        <v>26.0505</v>
      </c>
      <c r="C966" t="s">
        <v>778</v>
      </c>
    </row>
    <row r="967" spans="1:3" x14ac:dyDescent="0.25">
      <c r="A967" t="str">
        <f t="shared" si="21"/>
        <v>26</v>
      </c>
      <c r="B967" t="str">
        <f>"26.0506"</f>
        <v>26.0506</v>
      </c>
      <c r="C967" t="s">
        <v>779</v>
      </c>
    </row>
    <row r="968" spans="1:3" x14ac:dyDescent="0.25">
      <c r="A968" t="str">
        <f t="shared" si="21"/>
        <v>26</v>
      </c>
      <c r="B968" t="str">
        <f>"26.0507"</f>
        <v>26.0507</v>
      </c>
      <c r="C968" t="s">
        <v>780</v>
      </c>
    </row>
    <row r="969" spans="1:3" x14ac:dyDescent="0.25">
      <c r="A969" t="str">
        <f t="shared" si="21"/>
        <v>26</v>
      </c>
      <c r="B969" t="str">
        <f>"26.0508"</f>
        <v>26.0508</v>
      </c>
      <c r="C969" t="s">
        <v>781</v>
      </c>
    </row>
    <row r="970" spans="1:3" x14ac:dyDescent="0.25">
      <c r="A970" t="str">
        <f t="shared" si="21"/>
        <v>26</v>
      </c>
      <c r="B970" t="str">
        <f>"26.0509"</f>
        <v>26.0509</v>
      </c>
      <c r="C970" t="s">
        <v>1953</v>
      </c>
    </row>
    <row r="971" spans="1:3" x14ac:dyDescent="0.25">
      <c r="A971" t="str">
        <f t="shared" si="21"/>
        <v>26</v>
      </c>
      <c r="B971" t="str">
        <f>"26.0599"</f>
        <v>26.0599</v>
      </c>
      <c r="C971" t="s">
        <v>782</v>
      </c>
    </row>
    <row r="972" spans="1:3" x14ac:dyDescent="0.25">
      <c r="A972" t="str">
        <f t="shared" si="21"/>
        <v>26</v>
      </c>
      <c r="B972" t="str">
        <f>"26.07"</f>
        <v>26.07</v>
      </c>
      <c r="C972" t="s">
        <v>783</v>
      </c>
    </row>
    <row r="973" spans="1:3" x14ac:dyDescent="0.25">
      <c r="A973" t="str">
        <f t="shared" si="21"/>
        <v>26</v>
      </c>
      <c r="B973" t="str">
        <f>"26.0701"</f>
        <v>26.0701</v>
      </c>
      <c r="C973" t="s">
        <v>783</v>
      </c>
    </row>
    <row r="974" spans="1:3" x14ac:dyDescent="0.25">
      <c r="A974" t="str">
        <f t="shared" si="21"/>
        <v>26</v>
      </c>
      <c r="B974" t="str">
        <f>"26.0702"</f>
        <v>26.0702</v>
      </c>
      <c r="C974" t="s">
        <v>784</v>
      </c>
    </row>
    <row r="975" spans="1:3" x14ac:dyDescent="0.25">
      <c r="A975" t="str">
        <f t="shared" si="21"/>
        <v>26</v>
      </c>
      <c r="B975" t="str">
        <f>"26.0707"</f>
        <v>26.0707</v>
      </c>
      <c r="C975" t="s">
        <v>785</v>
      </c>
    </row>
    <row r="976" spans="1:3" x14ac:dyDescent="0.25">
      <c r="A976" t="str">
        <f t="shared" si="21"/>
        <v>26</v>
      </c>
      <c r="B976" t="str">
        <f>"26.0708"</f>
        <v>26.0708</v>
      </c>
      <c r="C976" t="s">
        <v>786</v>
      </c>
    </row>
    <row r="977" spans="1:3" x14ac:dyDescent="0.25">
      <c r="A977" t="str">
        <f t="shared" si="21"/>
        <v>26</v>
      </c>
      <c r="B977" t="str">
        <f>"26.0709"</f>
        <v>26.0709</v>
      </c>
      <c r="C977" t="s">
        <v>787</v>
      </c>
    </row>
    <row r="978" spans="1:3" x14ac:dyDescent="0.25">
      <c r="A978" t="str">
        <f t="shared" si="21"/>
        <v>26</v>
      </c>
      <c r="B978" t="str">
        <f>"26.0799"</f>
        <v>26.0799</v>
      </c>
      <c r="C978" t="s">
        <v>788</v>
      </c>
    </row>
    <row r="979" spans="1:3" x14ac:dyDescent="0.25">
      <c r="A979" t="str">
        <f t="shared" si="21"/>
        <v>26</v>
      </c>
      <c r="B979" t="str">
        <f>"26.08"</f>
        <v>26.08</v>
      </c>
      <c r="C979" t="s">
        <v>789</v>
      </c>
    </row>
    <row r="980" spans="1:3" x14ac:dyDescent="0.25">
      <c r="A980" t="str">
        <f t="shared" si="21"/>
        <v>26</v>
      </c>
      <c r="B980" t="str">
        <f>"26.0801"</f>
        <v>26.0801</v>
      </c>
      <c r="C980" t="s">
        <v>790</v>
      </c>
    </row>
    <row r="981" spans="1:3" x14ac:dyDescent="0.25">
      <c r="A981" t="str">
        <f t="shared" si="21"/>
        <v>26</v>
      </c>
      <c r="B981" t="str">
        <f>"26.0802"</f>
        <v>26.0802</v>
      </c>
      <c r="C981" t="s">
        <v>791</v>
      </c>
    </row>
    <row r="982" spans="1:3" x14ac:dyDescent="0.25">
      <c r="A982" t="str">
        <f t="shared" si="21"/>
        <v>26</v>
      </c>
      <c r="B982" t="str">
        <f>"26.0803"</f>
        <v>26.0803</v>
      </c>
      <c r="C982" t="s">
        <v>792</v>
      </c>
    </row>
    <row r="983" spans="1:3" x14ac:dyDescent="0.25">
      <c r="A983" t="str">
        <f t="shared" si="21"/>
        <v>26</v>
      </c>
      <c r="B983" t="str">
        <f>"26.0804"</f>
        <v>26.0804</v>
      </c>
      <c r="C983" t="s">
        <v>793</v>
      </c>
    </row>
    <row r="984" spans="1:3" x14ac:dyDescent="0.25">
      <c r="A984" t="str">
        <f t="shared" si="21"/>
        <v>26</v>
      </c>
      <c r="B984" t="str">
        <f>"26.0805"</f>
        <v>26.0805</v>
      </c>
      <c r="C984" t="s">
        <v>794</v>
      </c>
    </row>
    <row r="985" spans="1:3" x14ac:dyDescent="0.25">
      <c r="A985" t="str">
        <f t="shared" si="21"/>
        <v>26</v>
      </c>
      <c r="B985" t="str">
        <f>"26.0806"</f>
        <v>26.0806</v>
      </c>
      <c r="C985" t="s">
        <v>795</v>
      </c>
    </row>
    <row r="986" spans="1:3" x14ac:dyDescent="0.25">
      <c r="A986" t="str">
        <f t="shared" si="21"/>
        <v>26</v>
      </c>
      <c r="B986" t="str">
        <f>"26.0807"</f>
        <v>26.0807</v>
      </c>
      <c r="C986" t="s">
        <v>796</v>
      </c>
    </row>
    <row r="987" spans="1:3" x14ac:dyDescent="0.25">
      <c r="A987" t="str">
        <f t="shared" si="21"/>
        <v>26</v>
      </c>
      <c r="B987" t="str">
        <f>"26.0899"</f>
        <v>26.0899</v>
      </c>
      <c r="C987" t="s">
        <v>797</v>
      </c>
    </row>
    <row r="988" spans="1:3" x14ac:dyDescent="0.25">
      <c r="A988" t="str">
        <f t="shared" si="21"/>
        <v>26</v>
      </c>
      <c r="B988" t="str">
        <f>"26.09"</f>
        <v>26.09</v>
      </c>
      <c r="C988" t="s">
        <v>798</v>
      </c>
    </row>
    <row r="989" spans="1:3" x14ac:dyDescent="0.25">
      <c r="A989" t="str">
        <f t="shared" si="21"/>
        <v>26</v>
      </c>
      <c r="B989" t="str">
        <f>"26.0901"</f>
        <v>26.0901</v>
      </c>
      <c r="C989" t="s">
        <v>799</v>
      </c>
    </row>
    <row r="990" spans="1:3" x14ac:dyDescent="0.25">
      <c r="A990" t="str">
        <f t="shared" si="21"/>
        <v>26</v>
      </c>
      <c r="B990" t="str">
        <f>"26.0902"</f>
        <v>26.0902</v>
      </c>
      <c r="C990" t="s">
        <v>800</v>
      </c>
    </row>
    <row r="991" spans="1:3" x14ac:dyDescent="0.25">
      <c r="A991" t="str">
        <f t="shared" si="21"/>
        <v>26</v>
      </c>
      <c r="B991" t="str">
        <f>"26.0903"</f>
        <v>26.0903</v>
      </c>
      <c r="C991" t="s">
        <v>801</v>
      </c>
    </row>
    <row r="992" spans="1:3" x14ac:dyDescent="0.25">
      <c r="A992" t="str">
        <f t="shared" si="21"/>
        <v>26</v>
      </c>
      <c r="B992" t="str">
        <f>"26.0904"</f>
        <v>26.0904</v>
      </c>
      <c r="C992" t="s">
        <v>802</v>
      </c>
    </row>
    <row r="993" spans="1:3" x14ac:dyDescent="0.25">
      <c r="A993" t="str">
        <f t="shared" si="21"/>
        <v>26</v>
      </c>
      <c r="B993" t="str">
        <f>"26.0905"</f>
        <v>26.0905</v>
      </c>
      <c r="C993" t="s">
        <v>803</v>
      </c>
    </row>
    <row r="994" spans="1:3" x14ac:dyDescent="0.25">
      <c r="A994" t="str">
        <f t="shared" si="21"/>
        <v>26</v>
      </c>
      <c r="B994" t="str">
        <f>"26.0907"</f>
        <v>26.0907</v>
      </c>
      <c r="C994" t="s">
        <v>804</v>
      </c>
    </row>
    <row r="995" spans="1:3" x14ac:dyDescent="0.25">
      <c r="A995" t="str">
        <f t="shared" si="21"/>
        <v>26</v>
      </c>
      <c r="B995" t="str">
        <f>"26.0908"</f>
        <v>26.0908</v>
      </c>
      <c r="C995" t="s">
        <v>1954</v>
      </c>
    </row>
    <row r="996" spans="1:3" x14ac:dyDescent="0.25">
      <c r="A996" t="str">
        <f t="shared" si="21"/>
        <v>26</v>
      </c>
      <c r="B996" t="str">
        <f>"26.0909"</f>
        <v>26.0909</v>
      </c>
      <c r="C996" t="s">
        <v>805</v>
      </c>
    </row>
    <row r="997" spans="1:3" x14ac:dyDescent="0.25">
      <c r="A997" t="str">
        <f t="shared" si="21"/>
        <v>26</v>
      </c>
      <c r="B997" t="str">
        <f>"26.0910"</f>
        <v>26.0910</v>
      </c>
      <c r="C997" t="s">
        <v>806</v>
      </c>
    </row>
    <row r="998" spans="1:3" x14ac:dyDescent="0.25">
      <c r="A998" t="str">
        <f t="shared" si="21"/>
        <v>26</v>
      </c>
      <c r="B998" t="str">
        <f>"26.0911"</f>
        <v>26.0911</v>
      </c>
      <c r="C998" t="s">
        <v>807</v>
      </c>
    </row>
    <row r="999" spans="1:3" x14ac:dyDescent="0.25">
      <c r="A999" t="str">
        <f t="shared" ref="A999:A1041" si="22">"26"</f>
        <v>26</v>
      </c>
      <c r="B999" t="str">
        <f>"26.0912"</f>
        <v>26.0912</v>
      </c>
      <c r="C999" t="s">
        <v>808</v>
      </c>
    </row>
    <row r="1000" spans="1:3" x14ac:dyDescent="0.25">
      <c r="A1000" t="str">
        <f t="shared" si="22"/>
        <v>26</v>
      </c>
      <c r="B1000" t="str">
        <f>"26.0913"</f>
        <v>26.0913</v>
      </c>
      <c r="C1000" t="s">
        <v>1955</v>
      </c>
    </row>
    <row r="1001" spans="1:3" x14ac:dyDescent="0.25">
      <c r="A1001" t="str">
        <f t="shared" si="22"/>
        <v>26</v>
      </c>
      <c r="B1001" t="str">
        <f>"26.0999"</f>
        <v>26.0999</v>
      </c>
      <c r="C1001" t="s">
        <v>809</v>
      </c>
    </row>
    <row r="1002" spans="1:3" x14ac:dyDescent="0.25">
      <c r="A1002" t="str">
        <f t="shared" si="22"/>
        <v>26</v>
      </c>
      <c r="B1002" t="str">
        <f>"26.10"</f>
        <v>26.10</v>
      </c>
      <c r="C1002" t="s">
        <v>810</v>
      </c>
    </row>
    <row r="1003" spans="1:3" x14ac:dyDescent="0.25">
      <c r="A1003" t="str">
        <f t="shared" si="22"/>
        <v>26</v>
      </c>
      <c r="B1003" t="str">
        <f>"26.1001"</f>
        <v>26.1001</v>
      </c>
      <c r="C1003" t="s">
        <v>811</v>
      </c>
    </row>
    <row r="1004" spans="1:3" x14ac:dyDescent="0.25">
      <c r="A1004" t="str">
        <f t="shared" si="22"/>
        <v>26</v>
      </c>
      <c r="B1004" t="str">
        <f>"26.1002"</f>
        <v>26.1002</v>
      </c>
      <c r="C1004" t="s">
        <v>812</v>
      </c>
    </row>
    <row r="1005" spans="1:3" x14ac:dyDescent="0.25">
      <c r="A1005" t="str">
        <f t="shared" si="22"/>
        <v>26</v>
      </c>
      <c r="B1005" t="str">
        <f>"26.1003"</f>
        <v>26.1003</v>
      </c>
      <c r="C1005" t="s">
        <v>813</v>
      </c>
    </row>
    <row r="1006" spans="1:3" x14ac:dyDescent="0.25">
      <c r="A1006" t="str">
        <f t="shared" si="22"/>
        <v>26</v>
      </c>
      <c r="B1006" t="str">
        <f>"26.1004"</f>
        <v>26.1004</v>
      </c>
      <c r="C1006" t="s">
        <v>814</v>
      </c>
    </row>
    <row r="1007" spans="1:3" x14ac:dyDescent="0.25">
      <c r="A1007" t="str">
        <f t="shared" si="22"/>
        <v>26</v>
      </c>
      <c r="B1007" t="str">
        <f>"26.1005"</f>
        <v>26.1005</v>
      </c>
      <c r="C1007" t="s">
        <v>815</v>
      </c>
    </row>
    <row r="1008" spans="1:3" x14ac:dyDescent="0.25">
      <c r="A1008" t="str">
        <f t="shared" si="22"/>
        <v>26</v>
      </c>
      <c r="B1008" t="str">
        <f>"26.1006"</f>
        <v>26.1006</v>
      </c>
      <c r="C1008" t="s">
        <v>816</v>
      </c>
    </row>
    <row r="1009" spans="1:3" x14ac:dyDescent="0.25">
      <c r="A1009" t="str">
        <f t="shared" si="22"/>
        <v>26</v>
      </c>
      <c r="B1009" t="str">
        <f>"26.1007"</f>
        <v>26.1007</v>
      </c>
      <c r="C1009" t="s">
        <v>810</v>
      </c>
    </row>
    <row r="1010" spans="1:3" x14ac:dyDescent="0.25">
      <c r="A1010" t="str">
        <f t="shared" si="22"/>
        <v>26</v>
      </c>
      <c r="B1010" t="str">
        <f>"26.1099"</f>
        <v>26.1099</v>
      </c>
      <c r="C1010" t="s">
        <v>817</v>
      </c>
    </row>
    <row r="1011" spans="1:3" x14ac:dyDescent="0.25">
      <c r="A1011" t="str">
        <f t="shared" si="22"/>
        <v>26</v>
      </c>
      <c r="B1011" t="str">
        <f>"26.11"</f>
        <v>26.11</v>
      </c>
      <c r="C1011" t="s">
        <v>818</v>
      </c>
    </row>
    <row r="1012" spans="1:3" x14ac:dyDescent="0.25">
      <c r="A1012" t="str">
        <f t="shared" si="22"/>
        <v>26</v>
      </c>
      <c r="B1012" t="str">
        <f>"26.1101"</f>
        <v>26.1101</v>
      </c>
      <c r="C1012" t="s">
        <v>819</v>
      </c>
    </row>
    <row r="1013" spans="1:3" x14ac:dyDescent="0.25">
      <c r="A1013" t="str">
        <f t="shared" si="22"/>
        <v>26</v>
      </c>
      <c r="B1013" t="str">
        <f>"26.1102"</f>
        <v>26.1102</v>
      </c>
      <c r="C1013" t="s">
        <v>820</v>
      </c>
    </row>
    <row r="1014" spans="1:3" x14ac:dyDescent="0.25">
      <c r="A1014" t="str">
        <f t="shared" si="22"/>
        <v>26</v>
      </c>
      <c r="B1014" t="str">
        <f>"26.1103"</f>
        <v>26.1103</v>
      </c>
      <c r="C1014" t="s">
        <v>821</v>
      </c>
    </row>
    <row r="1015" spans="1:3" x14ac:dyDescent="0.25">
      <c r="A1015" t="str">
        <f t="shared" si="22"/>
        <v>26</v>
      </c>
      <c r="B1015" t="str">
        <f>"26.1104"</f>
        <v>26.1104</v>
      </c>
      <c r="C1015" t="s">
        <v>822</v>
      </c>
    </row>
    <row r="1016" spans="1:3" x14ac:dyDescent="0.25">
      <c r="A1016" t="str">
        <f t="shared" si="22"/>
        <v>26</v>
      </c>
      <c r="B1016" t="str">
        <f>"26.1199"</f>
        <v>26.1199</v>
      </c>
      <c r="C1016" t="s">
        <v>823</v>
      </c>
    </row>
    <row r="1017" spans="1:3" x14ac:dyDescent="0.25">
      <c r="A1017" t="str">
        <f t="shared" si="22"/>
        <v>26</v>
      </c>
      <c r="B1017" t="str">
        <f>"26.12"</f>
        <v>26.12</v>
      </c>
      <c r="C1017" t="s">
        <v>824</v>
      </c>
    </row>
    <row r="1018" spans="1:3" x14ac:dyDescent="0.25">
      <c r="A1018" t="str">
        <f t="shared" si="22"/>
        <v>26</v>
      </c>
      <c r="B1018" t="str">
        <f>"26.1201"</f>
        <v>26.1201</v>
      </c>
      <c r="C1018" t="s">
        <v>824</v>
      </c>
    </row>
    <row r="1019" spans="1:3" x14ac:dyDescent="0.25">
      <c r="A1019" t="str">
        <f t="shared" si="22"/>
        <v>26</v>
      </c>
      <c r="B1019" t="str">
        <f>"26.13"</f>
        <v>26.13</v>
      </c>
      <c r="C1019" t="s">
        <v>825</v>
      </c>
    </row>
    <row r="1020" spans="1:3" x14ac:dyDescent="0.25">
      <c r="A1020" t="str">
        <f t="shared" si="22"/>
        <v>26</v>
      </c>
      <c r="B1020" t="str">
        <f>"26.1301"</f>
        <v>26.1301</v>
      </c>
      <c r="C1020" t="s">
        <v>826</v>
      </c>
    </row>
    <row r="1021" spans="1:3" x14ac:dyDescent="0.25">
      <c r="A1021" t="str">
        <f t="shared" si="22"/>
        <v>26</v>
      </c>
      <c r="B1021" t="str">
        <f>"26.1302"</f>
        <v>26.1302</v>
      </c>
      <c r="C1021" t="s">
        <v>827</v>
      </c>
    </row>
    <row r="1022" spans="1:3" x14ac:dyDescent="0.25">
      <c r="A1022" t="str">
        <f t="shared" si="22"/>
        <v>26</v>
      </c>
      <c r="B1022" t="str">
        <f>"26.1303"</f>
        <v>26.1303</v>
      </c>
      <c r="C1022" t="s">
        <v>828</v>
      </c>
    </row>
    <row r="1023" spans="1:3" x14ac:dyDescent="0.25">
      <c r="A1023" t="str">
        <f t="shared" si="22"/>
        <v>26</v>
      </c>
      <c r="B1023" t="str">
        <f>"26.1304"</f>
        <v>26.1304</v>
      </c>
      <c r="C1023" t="s">
        <v>829</v>
      </c>
    </row>
    <row r="1024" spans="1:3" x14ac:dyDescent="0.25">
      <c r="A1024" t="str">
        <f t="shared" si="22"/>
        <v>26</v>
      </c>
      <c r="B1024" t="str">
        <f>"26.1305"</f>
        <v>26.1305</v>
      </c>
      <c r="C1024" t="s">
        <v>830</v>
      </c>
    </row>
    <row r="1025" spans="1:3" x14ac:dyDescent="0.25">
      <c r="A1025" t="str">
        <f t="shared" si="22"/>
        <v>26</v>
      </c>
      <c r="B1025" t="str">
        <f>"26.1306"</f>
        <v>26.1306</v>
      </c>
      <c r="C1025" t="s">
        <v>831</v>
      </c>
    </row>
    <row r="1026" spans="1:3" x14ac:dyDescent="0.25">
      <c r="A1026" t="str">
        <f t="shared" si="22"/>
        <v>26</v>
      </c>
      <c r="B1026" t="str">
        <f>"26.1307"</f>
        <v>26.1307</v>
      </c>
      <c r="C1026" t="s">
        <v>832</v>
      </c>
    </row>
    <row r="1027" spans="1:3" x14ac:dyDescent="0.25">
      <c r="A1027" t="str">
        <f t="shared" si="22"/>
        <v>26</v>
      </c>
      <c r="B1027" t="str">
        <f>"26.1308"</f>
        <v>26.1308</v>
      </c>
      <c r="C1027" t="s">
        <v>833</v>
      </c>
    </row>
    <row r="1028" spans="1:3" x14ac:dyDescent="0.25">
      <c r="A1028" t="str">
        <f t="shared" si="22"/>
        <v>26</v>
      </c>
      <c r="B1028" t="str">
        <f>"26.1309"</f>
        <v>26.1309</v>
      </c>
      <c r="C1028" t="s">
        <v>834</v>
      </c>
    </row>
    <row r="1029" spans="1:3" x14ac:dyDescent="0.25">
      <c r="A1029" t="str">
        <f t="shared" si="22"/>
        <v>26</v>
      </c>
      <c r="B1029" t="str">
        <f>"26.1310"</f>
        <v>26.1310</v>
      </c>
      <c r="C1029" t="s">
        <v>835</v>
      </c>
    </row>
    <row r="1030" spans="1:3" x14ac:dyDescent="0.25">
      <c r="A1030" t="str">
        <f t="shared" si="22"/>
        <v>26</v>
      </c>
      <c r="B1030" t="str">
        <f>"26.1311"</f>
        <v>26.1311</v>
      </c>
      <c r="C1030" t="s">
        <v>1956</v>
      </c>
    </row>
    <row r="1031" spans="1:3" x14ac:dyDescent="0.25">
      <c r="A1031" t="str">
        <f t="shared" si="22"/>
        <v>26</v>
      </c>
      <c r="B1031" t="str">
        <f>"26.1399"</f>
        <v>26.1399</v>
      </c>
      <c r="C1031" t="s">
        <v>836</v>
      </c>
    </row>
    <row r="1032" spans="1:3" x14ac:dyDescent="0.25">
      <c r="A1032" t="str">
        <f t="shared" si="22"/>
        <v>26</v>
      </c>
      <c r="B1032" t="str">
        <f>"26.14"</f>
        <v>26.14</v>
      </c>
      <c r="C1032" t="s">
        <v>837</v>
      </c>
    </row>
    <row r="1033" spans="1:3" x14ac:dyDescent="0.25">
      <c r="A1033" t="str">
        <f t="shared" si="22"/>
        <v>26</v>
      </c>
      <c r="B1033" t="str">
        <f>"26.1401"</f>
        <v>26.1401</v>
      </c>
      <c r="C1033" t="s">
        <v>837</v>
      </c>
    </row>
    <row r="1034" spans="1:3" x14ac:dyDescent="0.25">
      <c r="A1034" t="str">
        <f t="shared" si="22"/>
        <v>26</v>
      </c>
      <c r="B1034" t="str">
        <f>"26.15"</f>
        <v>26.15</v>
      </c>
      <c r="C1034" t="s">
        <v>838</v>
      </c>
    </row>
    <row r="1035" spans="1:3" x14ac:dyDescent="0.25">
      <c r="A1035" t="str">
        <f t="shared" si="22"/>
        <v>26</v>
      </c>
      <c r="B1035" t="str">
        <f>"26.1501"</f>
        <v>26.1501</v>
      </c>
      <c r="C1035" t="s">
        <v>839</v>
      </c>
    </row>
    <row r="1036" spans="1:3" x14ac:dyDescent="0.25">
      <c r="A1036" t="str">
        <f t="shared" si="22"/>
        <v>26</v>
      </c>
      <c r="B1036" t="str">
        <f>"26.1502"</f>
        <v>26.1502</v>
      </c>
      <c r="C1036" t="s">
        <v>770</v>
      </c>
    </row>
    <row r="1037" spans="1:3" x14ac:dyDescent="0.25">
      <c r="A1037" t="str">
        <f t="shared" si="22"/>
        <v>26</v>
      </c>
      <c r="B1037" t="str">
        <f>"26.1503"</f>
        <v>26.1503</v>
      </c>
      <c r="C1037" t="s">
        <v>840</v>
      </c>
    </row>
    <row r="1038" spans="1:3" x14ac:dyDescent="0.25">
      <c r="A1038" t="str">
        <f t="shared" si="22"/>
        <v>26</v>
      </c>
      <c r="B1038" t="str">
        <f>"26.1504"</f>
        <v>26.1504</v>
      </c>
      <c r="C1038" t="s">
        <v>841</v>
      </c>
    </row>
    <row r="1039" spans="1:3" x14ac:dyDescent="0.25">
      <c r="A1039" t="str">
        <f t="shared" si="22"/>
        <v>26</v>
      </c>
      <c r="B1039" t="str">
        <f>"26.1599"</f>
        <v>26.1599</v>
      </c>
      <c r="C1039" t="s">
        <v>842</v>
      </c>
    </row>
    <row r="1040" spans="1:3" x14ac:dyDescent="0.25">
      <c r="A1040" t="str">
        <f t="shared" si="22"/>
        <v>26</v>
      </c>
      <c r="B1040" t="str">
        <f>"26.99"</f>
        <v>26.99</v>
      </c>
      <c r="C1040" t="s">
        <v>843</v>
      </c>
    </row>
    <row r="1041" spans="1:3" x14ac:dyDescent="0.25">
      <c r="A1041" t="str">
        <f t="shared" si="22"/>
        <v>26</v>
      </c>
      <c r="B1041" t="str">
        <f>"26.9999"</f>
        <v>26.9999</v>
      </c>
      <c r="C1041" t="s">
        <v>843</v>
      </c>
    </row>
    <row r="1042" spans="1:3" x14ac:dyDescent="0.25">
      <c r="A1042" t="str">
        <f>"27"</f>
        <v>27</v>
      </c>
      <c r="B1042" t="str">
        <f>"27"</f>
        <v>27</v>
      </c>
      <c r="C1042" t="s">
        <v>844</v>
      </c>
    </row>
    <row r="1043" spans="1:3" x14ac:dyDescent="0.25">
      <c r="A1043" t="str">
        <f t="shared" ref="A1043:A1065" si="23">"27"</f>
        <v>27</v>
      </c>
      <c r="B1043" t="str">
        <f>"27.01"</f>
        <v>27.01</v>
      </c>
      <c r="C1043" t="s">
        <v>845</v>
      </c>
    </row>
    <row r="1044" spans="1:3" x14ac:dyDescent="0.25">
      <c r="A1044" t="str">
        <f t="shared" si="23"/>
        <v>27</v>
      </c>
      <c r="B1044" t="str">
        <f>"27.0101"</f>
        <v>27.0101</v>
      </c>
      <c r="C1044" t="s">
        <v>846</v>
      </c>
    </row>
    <row r="1045" spans="1:3" x14ac:dyDescent="0.25">
      <c r="A1045" t="str">
        <f t="shared" si="23"/>
        <v>27</v>
      </c>
      <c r="B1045" t="str">
        <f>"27.0102"</f>
        <v>27.0102</v>
      </c>
      <c r="C1045" t="s">
        <v>847</v>
      </c>
    </row>
    <row r="1046" spans="1:3" x14ac:dyDescent="0.25">
      <c r="A1046" t="str">
        <f t="shared" si="23"/>
        <v>27</v>
      </c>
      <c r="B1046" t="str">
        <f>"27.0103"</f>
        <v>27.0103</v>
      </c>
      <c r="C1046" t="s">
        <v>848</v>
      </c>
    </row>
    <row r="1047" spans="1:3" x14ac:dyDescent="0.25">
      <c r="A1047" t="str">
        <f t="shared" si="23"/>
        <v>27</v>
      </c>
      <c r="B1047" t="str">
        <f>"27.0104"</f>
        <v>27.0104</v>
      </c>
      <c r="C1047" t="s">
        <v>849</v>
      </c>
    </row>
    <row r="1048" spans="1:3" x14ac:dyDescent="0.25">
      <c r="A1048" t="str">
        <f t="shared" si="23"/>
        <v>27</v>
      </c>
      <c r="B1048" t="str">
        <f>"27.0105"</f>
        <v>27.0105</v>
      </c>
      <c r="C1048" t="s">
        <v>850</v>
      </c>
    </row>
    <row r="1049" spans="1:3" x14ac:dyDescent="0.25">
      <c r="A1049" t="str">
        <f t="shared" si="23"/>
        <v>27</v>
      </c>
      <c r="B1049" t="str">
        <f>"27.0199"</f>
        <v>27.0199</v>
      </c>
      <c r="C1049" t="s">
        <v>851</v>
      </c>
    </row>
    <row r="1050" spans="1:3" x14ac:dyDescent="0.25">
      <c r="A1050" t="str">
        <f t="shared" si="23"/>
        <v>27</v>
      </c>
      <c r="B1050" t="str">
        <f>"27.03"</f>
        <v>27.03</v>
      </c>
      <c r="C1050" t="s">
        <v>852</v>
      </c>
    </row>
    <row r="1051" spans="1:3" x14ac:dyDescent="0.25">
      <c r="A1051" t="str">
        <f t="shared" si="23"/>
        <v>27</v>
      </c>
      <c r="B1051" t="str">
        <f>"27.0301"</f>
        <v>27.0301</v>
      </c>
      <c r="C1051" t="s">
        <v>853</v>
      </c>
    </row>
    <row r="1052" spans="1:3" x14ac:dyDescent="0.25">
      <c r="A1052" t="str">
        <f t="shared" si="23"/>
        <v>27</v>
      </c>
      <c r="B1052" t="str">
        <f>"27.0303"</f>
        <v>27.0303</v>
      </c>
      <c r="C1052" t="s">
        <v>854</v>
      </c>
    </row>
    <row r="1053" spans="1:3" x14ac:dyDescent="0.25">
      <c r="A1053" t="str">
        <f t="shared" si="23"/>
        <v>27</v>
      </c>
      <c r="B1053" t="str">
        <f>"27.0304"</f>
        <v>27.0304</v>
      </c>
      <c r="C1053" t="s">
        <v>855</v>
      </c>
    </row>
    <row r="1054" spans="1:3" x14ac:dyDescent="0.25">
      <c r="A1054" t="str">
        <f t="shared" si="23"/>
        <v>27</v>
      </c>
      <c r="B1054" t="str">
        <f>"27.0305"</f>
        <v>27.0305</v>
      </c>
      <c r="C1054" t="s">
        <v>856</v>
      </c>
    </row>
    <row r="1055" spans="1:3" x14ac:dyDescent="0.25">
      <c r="A1055" t="str">
        <f t="shared" si="23"/>
        <v>27</v>
      </c>
      <c r="B1055" t="str">
        <f>"27.0306"</f>
        <v>27.0306</v>
      </c>
      <c r="C1055" t="s">
        <v>857</v>
      </c>
    </row>
    <row r="1056" spans="1:3" x14ac:dyDescent="0.25">
      <c r="A1056" t="str">
        <f t="shared" si="23"/>
        <v>27</v>
      </c>
      <c r="B1056" t="str">
        <f>"27.0399"</f>
        <v>27.0399</v>
      </c>
      <c r="C1056" t="s">
        <v>858</v>
      </c>
    </row>
    <row r="1057" spans="1:3" x14ac:dyDescent="0.25">
      <c r="A1057" t="str">
        <f t="shared" si="23"/>
        <v>27</v>
      </c>
      <c r="B1057" t="str">
        <f>"27.05"</f>
        <v>27.05</v>
      </c>
      <c r="C1057" t="s">
        <v>859</v>
      </c>
    </row>
    <row r="1058" spans="1:3" x14ac:dyDescent="0.25">
      <c r="A1058" t="str">
        <f t="shared" si="23"/>
        <v>27</v>
      </c>
      <c r="B1058" t="str">
        <f>"27.0501"</f>
        <v>27.0501</v>
      </c>
      <c r="C1058" t="s">
        <v>860</v>
      </c>
    </row>
    <row r="1059" spans="1:3" x14ac:dyDescent="0.25">
      <c r="A1059" t="str">
        <f t="shared" si="23"/>
        <v>27</v>
      </c>
      <c r="B1059" t="str">
        <f>"27.0502"</f>
        <v>27.0502</v>
      </c>
      <c r="C1059" t="s">
        <v>861</v>
      </c>
    </row>
    <row r="1060" spans="1:3" x14ac:dyDescent="0.25">
      <c r="A1060" t="str">
        <f t="shared" si="23"/>
        <v>27</v>
      </c>
      <c r="B1060" t="str">
        <f>"27.0503"</f>
        <v>27.0503</v>
      </c>
      <c r="C1060" t="s">
        <v>862</v>
      </c>
    </row>
    <row r="1061" spans="1:3" x14ac:dyDescent="0.25">
      <c r="A1061" t="str">
        <f t="shared" si="23"/>
        <v>27</v>
      </c>
      <c r="B1061" t="str">
        <f>"27.0599"</f>
        <v>27.0599</v>
      </c>
      <c r="C1061" t="s">
        <v>863</v>
      </c>
    </row>
    <row r="1062" spans="1:3" x14ac:dyDescent="0.25">
      <c r="A1062" t="str">
        <f t="shared" si="23"/>
        <v>27</v>
      </c>
      <c r="B1062" t="str">
        <f>"27.06"</f>
        <v>27.06</v>
      </c>
      <c r="C1062" t="s">
        <v>1957</v>
      </c>
    </row>
    <row r="1063" spans="1:3" x14ac:dyDescent="0.25">
      <c r="A1063" t="str">
        <f t="shared" si="23"/>
        <v>27</v>
      </c>
      <c r="B1063" t="str">
        <f>"27.0601"</f>
        <v>27.0601</v>
      </c>
      <c r="C1063" t="s">
        <v>1958</v>
      </c>
    </row>
    <row r="1064" spans="1:3" x14ac:dyDescent="0.25">
      <c r="A1064" t="str">
        <f t="shared" si="23"/>
        <v>27</v>
      </c>
      <c r="B1064" t="str">
        <f>"27.99"</f>
        <v>27.99</v>
      </c>
      <c r="C1064" t="s">
        <v>864</v>
      </c>
    </row>
    <row r="1065" spans="1:3" x14ac:dyDescent="0.25">
      <c r="A1065" t="str">
        <f t="shared" si="23"/>
        <v>27</v>
      </c>
      <c r="B1065" t="str">
        <f>"27.9999"</f>
        <v>27.9999</v>
      </c>
      <c r="C1065" t="s">
        <v>864</v>
      </c>
    </row>
    <row r="1066" spans="1:3" x14ac:dyDescent="0.25">
      <c r="A1066" t="str">
        <f>"28"</f>
        <v>28</v>
      </c>
      <c r="B1066" t="str">
        <f>"28"</f>
        <v>28</v>
      </c>
      <c r="C1066" t="s">
        <v>865</v>
      </c>
    </row>
    <row r="1067" spans="1:3" x14ac:dyDescent="0.25">
      <c r="A1067" t="str">
        <f t="shared" ref="A1067:A1099" si="24">"28"</f>
        <v>28</v>
      </c>
      <c r="B1067" t="str">
        <f>"28.01"</f>
        <v>28.01</v>
      </c>
      <c r="C1067" t="s">
        <v>866</v>
      </c>
    </row>
    <row r="1068" spans="1:3" x14ac:dyDescent="0.25">
      <c r="A1068" t="str">
        <f t="shared" si="24"/>
        <v>28</v>
      </c>
      <c r="B1068" t="str">
        <f>"28.0101"</f>
        <v>28.0101</v>
      </c>
      <c r="C1068" t="s">
        <v>867</v>
      </c>
    </row>
    <row r="1069" spans="1:3" x14ac:dyDescent="0.25">
      <c r="A1069" t="str">
        <f t="shared" si="24"/>
        <v>28</v>
      </c>
      <c r="B1069" t="str">
        <f>"28.0199"</f>
        <v>28.0199</v>
      </c>
      <c r="C1069" t="s">
        <v>868</v>
      </c>
    </row>
    <row r="1070" spans="1:3" x14ac:dyDescent="0.25">
      <c r="A1070" t="str">
        <f t="shared" si="24"/>
        <v>28</v>
      </c>
      <c r="B1070" t="str">
        <f>"28.03"</f>
        <v>28.03</v>
      </c>
      <c r="C1070" t="s">
        <v>869</v>
      </c>
    </row>
    <row r="1071" spans="1:3" x14ac:dyDescent="0.25">
      <c r="A1071" t="str">
        <f t="shared" si="24"/>
        <v>28</v>
      </c>
      <c r="B1071" t="str">
        <f>"28.0301"</f>
        <v>28.0301</v>
      </c>
      <c r="C1071" t="s">
        <v>870</v>
      </c>
    </row>
    <row r="1072" spans="1:3" x14ac:dyDescent="0.25">
      <c r="A1072" t="str">
        <f t="shared" si="24"/>
        <v>28</v>
      </c>
      <c r="B1072" t="str">
        <f>"28.0399"</f>
        <v>28.0399</v>
      </c>
      <c r="C1072" t="s">
        <v>871</v>
      </c>
    </row>
    <row r="1073" spans="1:3" x14ac:dyDescent="0.25">
      <c r="A1073" t="str">
        <f t="shared" si="24"/>
        <v>28</v>
      </c>
      <c r="B1073" t="str">
        <f>"28.04"</f>
        <v>28.04</v>
      </c>
      <c r="C1073" t="s">
        <v>872</v>
      </c>
    </row>
    <row r="1074" spans="1:3" x14ac:dyDescent="0.25">
      <c r="A1074" t="str">
        <f t="shared" si="24"/>
        <v>28</v>
      </c>
      <c r="B1074" t="str">
        <f>"28.0401"</f>
        <v>28.0401</v>
      </c>
      <c r="C1074" t="s">
        <v>873</v>
      </c>
    </row>
    <row r="1075" spans="1:3" x14ac:dyDescent="0.25">
      <c r="A1075" t="str">
        <f t="shared" si="24"/>
        <v>28</v>
      </c>
      <c r="B1075" t="str">
        <f>"28.0499"</f>
        <v>28.0499</v>
      </c>
      <c r="C1075" t="s">
        <v>874</v>
      </c>
    </row>
    <row r="1076" spans="1:3" x14ac:dyDescent="0.25">
      <c r="A1076" t="str">
        <f t="shared" si="24"/>
        <v>28</v>
      </c>
      <c r="B1076" t="str">
        <f>"28.05"</f>
        <v>28.05</v>
      </c>
      <c r="C1076" t="s">
        <v>875</v>
      </c>
    </row>
    <row r="1077" spans="1:3" x14ac:dyDescent="0.25">
      <c r="A1077" t="str">
        <f t="shared" si="24"/>
        <v>28</v>
      </c>
      <c r="B1077" t="str">
        <f>"28.0501"</f>
        <v>28.0501</v>
      </c>
      <c r="C1077" t="s">
        <v>876</v>
      </c>
    </row>
    <row r="1078" spans="1:3" x14ac:dyDescent="0.25">
      <c r="A1078" t="str">
        <f t="shared" si="24"/>
        <v>28</v>
      </c>
      <c r="B1078" t="str">
        <f>"28.0502"</f>
        <v>28.0502</v>
      </c>
      <c r="C1078" t="s">
        <v>877</v>
      </c>
    </row>
    <row r="1079" spans="1:3" x14ac:dyDescent="0.25">
      <c r="A1079" t="str">
        <f t="shared" si="24"/>
        <v>28</v>
      </c>
      <c r="B1079" t="str">
        <f>"28.0503"</f>
        <v>28.0503</v>
      </c>
      <c r="C1079" t="s">
        <v>878</v>
      </c>
    </row>
    <row r="1080" spans="1:3" x14ac:dyDescent="0.25">
      <c r="A1080" t="str">
        <f t="shared" si="24"/>
        <v>28</v>
      </c>
      <c r="B1080" t="str">
        <f>"28.0504"</f>
        <v>28.0504</v>
      </c>
      <c r="C1080" t="s">
        <v>879</v>
      </c>
    </row>
    <row r="1081" spans="1:3" x14ac:dyDescent="0.25">
      <c r="A1081" t="str">
        <f t="shared" si="24"/>
        <v>28</v>
      </c>
      <c r="B1081" t="str">
        <f>"28.0505"</f>
        <v>28.0505</v>
      </c>
      <c r="C1081" t="s">
        <v>880</v>
      </c>
    </row>
    <row r="1082" spans="1:3" x14ac:dyDescent="0.25">
      <c r="A1082" t="str">
        <f t="shared" si="24"/>
        <v>28</v>
      </c>
      <c r="B1082" t="str">
        <f>"28.0506"</f>
        <v>28.0506</v>
      </c>
      <c r="C1082" t="s">
        <v>881</v>
      </c>
    </row>
    <row r="1083" spans="1:3" x14ac:dyDescent="0.25">
      <c r="A1083" t="str">
        <f t="shared" si="24"/>
        <v>28</v>
      </c>
      <c r="B1083" t="str">
        <f>"28.0599"</f>
        <v>28.0599</v>
      </c>
      <c r="C1083" t="s">
        <v>882</v>
      </c>
    </row>
    <row r="1084" spans="1:3" x14ac:dyDescent="0.25">
      <c r="A1084" t="str">
        <f t="shared" si="24"/>
        <v>28</v>
      </c>
      <c r="B1084" t="str">
        <f>"28.06"</f>
        <v>28.06</v>
      </c>
      <c r="C1084" t="s">
        <v>883</v>
      </c>
    </row>
    <row r="1085" spans="1:3" x14ac:dyDescent="0.25">
      <c r="A1085" t="str">
        <f t="shared" si="24"/>
        <v>28</v>
      </c>
      <c r="B1085" t="str">
        <f>"28.0601"</f>
        <v>28.0601</v>
      </c>
      <c r="C1085" t="s">
        <v>884</v>
      </c>
    </row>
    <row r="1086" spans="1:3" x14ac:dyDescent="0.25">
      <c r="A1086" t="str">
        <f t="shared" si="24"/>
        <v>28</v>
      </c>
      <c r="B1086" t="str">
        <f>"28.0602"</f>
        <v>28.0602</v>
      </c>
      <c r="C1086" t="s">
        <v>885</v>
      </c>
    </row>
    <row r="1087" spans="1:3" x14ac:dyDescent="0.25">
      <c r="A1087" t="str">
        <f t="shared" si="24"/>
        <v>28</v>
      </c>
      <c r="B1087" t="str">
        <f>"28.0603"</f>
        <v>28.0603</v>
      </c>
      <c r="C1087" t="s">
        <v>886</v>
      </c>
    </row>
    <row r="1088" spans="1:3" x14ac:dyDescent="0.25">
      <c r="A1088" t="str">
        <f t="shared" si="24"/>
        <v>28</v>
      </c>
      <c r="B1088" t="str">
        <f>"28.0604"</f>
        <v>28.0604</v>
      </c>
      <c r="C1088" t="s">
        <v>887</v>
      </c>
    </row>
    <row r="1089" spans="1:3" x14ac:dyDescent="0.25">
      <c r="A1089" t="str">
        <f t="shared" si="24"/>
        <v>28</v>
      </c>
      <c r="B1089" t="str">
        <f>"28.0605"</f>
        <v>28.0605</v>
      </c>
      <c r="C1089" t="s">
        <v>888</v>
      </c>
    </row>
    <row r="1090" spans="1:3" x14ac:dyDescent="0.25">
      <c r="A1090" t="str">
        <f t="shared" si="24"/>
        <v>28</v>
      </c>
      <c r="B1090" t="str">
        <f>"28.0699"</f>
        <v>28.0699</v>
      </c>
      <c r="C1090" t="s">
        <v>889</v>
      </c>
    </row>
    <row r="1091" spans="1:3" x14ac:dyDescent="0.25">
      <c r="A1091" t="str">
        <f t="shared" si="24"/>
        <v>28</v>
      </c>
      <c r="B1091" t="str">
        <f>"28.07"</f>
        <v>28.07</v>
      </c>
      <c r="C1091" t="s">
        <v>890</v>
      </c>
    </row>
    <row r="1092" spans="1:3" x14ac:dyDescent="0.25">
      <c r="A1092" t="str">
        <f t="shared" si="24"/>
        <v>28</v>
      </c>
      <c r="B1092" t="str">
        <f>"28.0701"</f>
        <v>28.0701</v>
      </c>
      <c r="C1092" t="s">
        <v>891</v>
      </c>
    </row>
    <row r="1093" spans="1:3" x14ac:dyDescent="0.25">
      <c r="A1093" t="str">
        <f t="shared" si="24"/>
        <v>28</v>
      </c>
      <c r="B1093" t="str">
        <f>"28.0702"</f>
        <v>28.0702</v>
      </c>
      <c r="C1093" t="s">
        <v>892</v>
      </c>
    </row>
    <row r="1094" spans="1:3" x14ac:dyDescent="0.25">
      <c r="A1094" t="str">
        <f t="shared" si="24"/>
        <v>28</v>
      </c>
      <c r="B1094" t="str">
        <f>"28.0703"</f>
        <v>28.0703</v>
      </c>
      <c r="C1094" t="s">
        <v>893</v>
      </c>
    </row>
    <row r="1095" spans="1:3" x14ac:dyDescent="0.25">
      <c r="A1095" t="str">
        <f t="shared" si="24"/>
        <v>28</v>
      </c>
      <c r="B1095" t="str">
        <f>"28.0799"</f>
        <v>28.0799</v>
      </c>
      <c r="C1095" t="s">
        <v>894</v>
      </c>
    </row>
    <row r="1096" spans="1:3" x14ac:dyDescent="0.25">
      <c r="A1096" t="str">
        <f t="shared" si="24"/>
        <v>28</v>
      </c>
      <c r="B1096" t="str">
        <f>"28.08"</f>
        <v>28.08</v>
      </c>
      <c r="C1096" t="s">
        <v>1797</v>
      </c>
    </row>
    <row r="1097" spans="1:3" x14ac:dyDescent="0.25">
      <c r="A1097" t="str">
        <f t="shared" si="24"/>
        <v>28</v>
      </c>
      <c r="B1097" t="str">
        <f>"28.0801"</f>
        <v>28.0801</v>
      </c>
      <c r="C1097" t="s">
        <v>1797</v>
      </c>
    </row>
    <row r="1098" spans="1:3" x14ac:dyDescent="0.25">
      <c r="A1098" t="str">
        <f t="shared" si="24"/>
        <v>28</v>
      </c>
      <c r="B1098" t="str">
        <f>"28.99"</f>
        <v>28.99</v>
      </c>
      <c r="C1098" t="s">
        <v>895</v>
      </c>
    </row>
    <row r="1099" spans="1:3" x14ac:dyDescent="0.25">
      <c r="A1099" t="str">
        <f t="shared" si="24"/>
        <v>28</v>
      </c>
      <c r="B1099" t="str">
        <f>"28.9999"</f>
        <v>28.9999</v>
      </c>
      <c r="C1099" t="s">
        <v>895</v>
      </c>
    </row>
    <row r="1100" spans="1:3" x14ac:dyDescent="0.25">
      <c r="A1100" t="str">
        <f>"29"</f>
        <v>29</v>
      </c>
      <c r="B1100" t="str">
        <f>"29"</f>
        <v>29</v>
      </c>
      <c r="C1100" t="s">
        <v>896</v>
      </c>
    </row>
    <row r="1101" spans="1:3" x14ac:dyDescent="0.25">
      <c r="A1101" t="str">
        <f t="shared" ref="A1101:A1135" si="25">"29"</f>
        <v>29</v>
      </c>
      <c r="B1101" t="str">
        <f>"29.02"</f>
        <v>29.02</v>
      </c>
      <c r="C1101" t="s">
        <v>897</v>
      </c>
    </row>
    <row r="1102" spans="1:3" x14ac:dyDescent="0.25">
      <c r="A1102" t="str">
        <f t="shared" si="25"/>
        <v>29</v>
      </c>
      <c r="B1102" t="str">
        <f>"29.0201"</f>
        <v>29.0201</v>
      </c>
      <c r="C1102" t="s">
        <v>898</v>
      </c>
    </row>
    <row r="1103" spans="1:3" x14ac:dyDescent="0.25">
      <c r="A1103" t="str">
        <f t="shared" si="25"/>
        <v>29</v>
      </c>
      <c r="B1103" t="str">
        <f>"29.0202"</f>
        <v>29.0202</v>
      </c>
      <c r="C1103" t="s">
        <v>899</v>
      </c>
    </row>
    <row r="1104" spans="1:3" x14ac:dyDescent="0.25">
      <c r="A1104" t="str">
        <f t="shared" si="25"/>
        <v>29</v>
      </c>
      <c r="B1104" t="str">
        <f>"29.0203"</f>
        <v>29.0203</v>
      </c>
      <c r="C1104" t="s">
        <v>900</v>
      </c>
    </row>
    <row r="1105" spans="1:3" x14ac:dyDescent="0.25">
      <c r="A1105" t="str">
        <f t="shared" si="25"/>
        <v>29</v>
      </c>
      <c r="B1105" t="str">
        <f>"29.0204"</f>
        <v>29.0204</v>
      </c>
      <c r="C1105" t="s">
        <v>901</v>
      </c>
    </row>
    <row r="1106" spans="1:3" x14ac:dyDescent="0.25">
      <c r="A1106" t="str">
        <f t="shared" si="25"/>
        <v>29</v>
      </c>
      <c r="B1106" t="str">
        <f>"29.0205"</f>
        <v>29.0205</v>
      </c>
      <c r="C1106" t="s">
        <v>902</v>
      </c>
    </row>
    <row r="1107" spans="1:3" x14ac:dyDescent="0.25">
      <c r="A1107" t="str">
        <f t="shared" si="25"/>
        <v>29</v>
      </c>
      <c r="B1107" t="str">
        <f>"29.0206"</f>
        <v>29.0206</v>
      </c>
      <c r="C1107" t="s">
        <v>903</v>
      </c>
    </row>
    <row r="1108" spans="1:3" x14ac:dyDescent="0.25">
      <c r="A1108" t="str">
        <f t="shared" si="25"/>
        <v>29</v>
      </c>
      <c r="B1108" t="str">
        <f>"29.0207"</f>
        <v>29.0207</v>
      </c>
      <c r="C1108" t="s">
        <v>904</v>
      </c>
    </row>
    <row r="1109" spans="1:3" x14ac:dyDescent="0.25">
      <c r="A1109" t="str">
        <f t="shared" si="25"/>
        <v>29</v>
      </c>
      <c r="B1109" t="str">
        <f>"29.0299"</f>
        <v>29.0299</v>
      </c>
      <c r="C1109" t="s">
        <v>905</v>
      </c>
    </row>
    <row r="1110" spans="1:3" x14ac:dyDescent="0.25">
      <c r="A1110" t="str">
        <f t="shared" si="25"/>
        <v>29</v>
      </c>
      <c r="B1110" t="str">
        <f>"29.03"</f>
        <v>29.03</v>
      </c>
      <c r="C1110" t="s">
        <v>906</v>
      </c>
    </row>
    <row r="1111" spans="1:3" x14ac:dyDescent="0.25">
      <c r="A1111" t="str">
        <f t="shared" si="25"/>
        <v>29</v>
      </c>
      <c r="B1111" t="str">
        <f>"29.0301"</f>
        <v>29.0301</v>
      </c>
      <c r="C1111" t="s">
        <v>907</v>
      </c>
    </row>
    <row r="1112" spans="1:3" x14ac:dyDescent="0.25">
      <c r="A1112" t="str">
        <f t="shared" si="25"/>
        <v>29</v>
      </c>
      <c r="B1112" t="str">
        <f>"29.0302"</f>
        <v>29.0302</v>
      </c>
      <c r="C1112" t="s">
        <v>908</v>
      </c>
    </row>
    <row r="1113" spans="1:3" x14ac:dyDescent="0.25">
      <c r="A1113" t="str">
        <f t="shared" si="25"/>
        <v>29</v>
      </c>
      <c r="B1113" t="str">
        <f>"29.0303"</f>
        <v>29.0303</v>
      </c>
      <c r="C1113" t="s">
        <v>909</v>
      </c>
    </row>
    <row r="1114" spans="1:3" x14ac:dyDescent="0.25">
      <c r="A1114" t="str">
        <f t="shared" si="25"/>
        <v>29</v>
      </c>
      <c r="B1114" t="str">
        <f>"29.0304"</f>
        <v>29.0304</v>
      </c>
      <c r="C1114" t="s">
        <v>910</v>
      </c>
    </row>
    <row r="1115" spans="1:3" x14ac:dyDescent="0.25">
      <c r="A1115" t="str">
        <f t="shared" si="25"/>
        <v>29</v>
      </c>
      <c r="B1115" t="str">
        <f>"29.0305"</f>
        <v>29.0305</v>
      </c>
      <c r="C1115" t="s">
        <v>911</v>
      </c>
    </row>
    <row r="1116" spans="1:3" x14ac:dyDescent="0.25">
      <c r="A1116" t="str">
        <f t="shared" si="25"/>
        <v>29</v>
      </c>
      <c r="B1116" t="str">
        <f>"29.0306"</f>
        <v>29.0306</v>
      </c>
      <c r="C1116" t="s">
        <v>912</v>
      </c>
    </row>
    <row r="1117" spans="1:3" x14ac:dyDescent="0.25">
      <c r="A1117" t="str">
        <f t="shared" si="25"/>
        <v>29</v>
      </c>
      <c r="B1117" t="str">
        <f>"29.0307"</f>
        <v>29.0307</v>
      </c>
      <c r="C1117" t="s">
        <v>913</v>
      </c>
    </row>
    <row r="1118" spans="1:3" x14ac:dyDescent="0.25">
      <c r="A1118" t="str">
        <f t="shared" si="25"/>
        <v>29</v>
      </c>
      <c r="B1118" t="str">
        <f>"29.0399"</f>
        <v>29.0399</v>
      </c>
      <c r="C1118" t="s">
        <v>914</v>
      </c>
    </row>
    <row r="1119" spans="1:3" x14ac:dyDescent="0.25">
      <c r="A1119" t="str">
        <f t="shared" si="25"/>
        <v>29</v>
      </c>
      <c r="B1119" t="str">
        <f>"29.04"</f>
        <v>29.04</v>
      </c>
      <c r="C1119" t="s">
        <v>915</v>
      </c>
    </row>
    <row r="1120" spans="1:3" x14ac:dyDescent="0.25">
      <c r="A1120" t="str">
        <f t="shared" si="25"/>
        <v>29</v>
      </c>
      <c r="B1120" t="str">
        <f>"29.0401"</f>
        <v>29.0401</v>
      </c>
      <c r="C1120" t="s">
        <v>916</v>
      </c>
    </row>
    <row r="1121" spans="1:3" x14ac:dyDescent="0.25">
      <c r="A1121" t="str">
        <f t="shared" si="25"/>
        <v>29</v>
      </c>
      <c r="B1121" t="str">
        <f>"29.0402"</f>
        <v>29.0402</v>
      </c>
      <c r="C1121" t="s">
        <v>917</v>
      </c>
    </row>
    <row r="1122" spans="1:3" x14ac:dyDescent="0.25">
      <c r="A1122" t="str">
        <f t="shared" si="25"/>
        <v>29</v>
      </c>
      <c r="B1122" t="str">
        <f>"29.0403"</f>
        <v>29.0403</v>
      </c>
      <c r="C1122" t="s">
        <v>918</v>
      </c>
    </row>
    <row r="1123" spans="1:3" x14ac:dyDescent="0.25">
      <c r="A1123" t="str">
        <f t="shared" si="25"/>
        <v>29</v>
      </c>
      <c r="B1123" t="str">
        <f>"29.0404"</f>
        <v>29.0404</v>
      </c>
      <c r="C1123" t="s">
        <v>919</v>
      </c>
    </row>
    <row r="1124" spans="1:3" x14ac:dyDescent="0.25">
      <c r="A1124" t="str">
        <f t="shared" si="25"/>
        <v>29</v>
      </c>
      <c r="B1124" t="str">
        <f>"29.0405"</f>
        <v>29.0405</v>
      </c>
      <c r="C1124" t="s">
        <v>920</v>
      </c>
    </row>
    <row r="1125" spans="1:3" x14ac:dyDescent="0.25">
      <c r="A1125" t="str">
        <f t="shared" si="25"/>
        <v>29</v>
      </c>
      <c r="B1125" t="str">
        <f>"29.0406"</f>
        <v>29.0406</v>
      </c>
      <c r="C1125" t="s">
        <v>921</v>
      </c>
    </row>
    <row r="1126" spans="1:3" x14ac:dyDescent="0.25">
      <c r="A1126" t="str">
        <f t="shared" si="25"/>
        <v>29</v>
      </c>
      <c r="B1126" t="str">
        <f>"29.0407"</f>
        <v>29.0407</v>
      </c>
      <c r="C1126" t="s">
        <v>922</v>
      </c>
    </row>
    <row r="1127" spans="1:3" x14ac:dyDescent="0.25">
      <c r="A1127" t="str">
        <f t="shared" si="25"/>
        <v>29</v>
      </c>
      <c r="B1127" t="str">
        <f>"29.0408"</f>
        <v>29.0408</v>
      </c>
      <c r="C1127" t="s">
        <v>923</v>
      </c>
    </row>
    <row r="1128" spans="1:3" x14ac:dyDescent="0.25">
      <c r="A1128" t="str">
        <f t="shared" si="25"/>
        <v>29</v>
      </c>
      <c r="B1128" t="str">
        <f>"29.0409"</f>
        <v>29.0409</v>
      </c>
      <c r="C1128" t="s">
        <v>924</v>
      </c>
    </row>
    <row r="1129" spans="1:3" x14ac:dyDescent="0.25">
      <c r="A1129" t="str">
        <f t="shared" si="25"/>
        <v>29</v>
      </c>
      <c r="B1129" t="str">
        <f>"29.0499"</f>
        <v>29.0499</v>
      </c>
      <c r="C1129" t="s">
        <v>925</v>
      </c>
    </row>
    <row r="1130" spans="1:3" x14ac:dyDescent="0.25">
      <c r="A1130" t="str">
        <f t="shared" si="25"/>
        <v>29</v>
      </c>
      <c r="B1130" t="str">
        <f>"29.05"</f>
        <v>29.05</v>
      </c>
      <c r="C1130" t="s">
        <v>1797</v>
      </c>
    </row>
    <row r="1131" spans="1:3" x14ac:dyDescent="0.25">
      <c r="A1131" t="str">
        <f t="shared" si="25"/>
        <v>29</v>
      </c>
      <c r="B1131" t="str">
        <f>"29.0501"</f>
        <v>29.0501</v>
      </c>
      <c r="C1131" t="s">
        <v>1797</v>
      </c>
    </row>
    <row r="1132" spans="1:3" x14ac:dyDescent="0.25">
      <c r="A1132" t="str">
        <f t="shared" si="25"/>
        <v>29</v>
      </c>
      <c r="B1132" t="str">
        <f>"29.06"</f>
        <v>29.06</v>
      </c>
      <c r="C1132" t="s">
        <v>1959</v>
      </c>
    </row>
    <row r="1133" spans="1:3" x14ac:dyDescent="0.25">
      <c r="A1133" t="str">
        <f t="shared" si="25"/>
        <v>29</v>
      </c>
      <c r="B1133" t="str">
        <f>"29.0601"</f>
        <v>29.0601</v>
      </c>
      <c r="C1133" t="s">
        <v>1959</v>
      </c>
    </row>
    <row r="1134" spans="1:3" x14ac:dyDescent="0.25">
      <c r="A1134" t="str">
        <f t="shared" si="25"/>
        <v>29</v>
      </c>
      <c r="B1134" t="str">
        <f>"29.99"</f>
        <v>29.99</v>
      </c>
      <c r="C1134" t="s">
        <v>926</v>
      </c>
    </row>
    <row r="1135" spans="1:3" x14ac:dyDescent="0.25">
      <c r="A1135" t="str">
        <f t="shared" si="25"/>
        <v>29</v>
      </c>
      <c r="B1135" t="str">
        <f>"29.9999"</f>
        <v>29.9999</v>
      </c>
      <c r="C1135" t="s">
        <v>926</v>
      </c>
    </row>
    <row r="1136" spans="1:3" x14ac:dyDescent="0.25">
      <c r="A1136" t="str">
        <f>"30"</f>
        <v>30</v>
      </c>
      <c r="B1136" t="str">
        <f>"30"</f>
        <v>30</v>
      </c>
      <c r="C1136" t="s">
        <v>927</v>
      </c>
    </row>
    <row r="1137" spans="1:3" x14ac:dyDescent="0.25">
      <c r="A1137" t="str">
        <f t="shared" ref="A1137:A1200" si="26">"30"</f>
        <v>30</v>
      </c>
      <c r="B1137" t="str">
        <f>"30.00"</f>
        <v>30.00</v>
      </c>
      <c r="C1137" t="s">
        <v>928</v>
      </c>
    </row>
    <row r="1138" spans="1:3" x14ac:dyDescent="0.25">
      <c r="A1138" t="str">
        <f t="shared" si="26"/>
        <v>30</v>
      </c>
      <c r="B1138" t="str">
        <f>"30.0000"</f>
        <v>30.0000</v>
      </c>
      <c r="C1138" t="s">
        <v>928</v>
      </c>
    </row>
    <row r="1139" spans="1:3" x14ac:dyDescent="0.25">
      <c r="A1139" t="str">
        <f t="shared" si="26"/>
        <v>30</v>
      </c>
      <c r="B1139" t="str">
        <f>"30.0001"</f>
        <v>30.0001</v>
      </c>
      <c r="C1139" t="s">
        <v>1960</v>
      </c>
    </row>
    <row r="1140" spans="1:3" x14ac:dyDescent="0.25">
      <c r="A1140" t="str">
        <f t="shared" si="26"/>
        <v>30</v>
      </c>
      <c r="B1140" t="str">
        <f>"30.01"</f>
        <v>30.01</v>
      </c>
      <c r="C1140" t="s">
        <v>929</v>
      </c>
    </row>
    <row r="1141" spans="1:3" x14ac:dyDescent="0.25">
      <c r="A1141" t="str">
        <f t="shared" si="26"/>
        <v>30</v>
      </c>
      <c r="B1141" t="str">
        <f>"30.0101"</f>
        <v>30.0101</v>
      </c>
      <c r="C1141" t="s">
        <v>929</v>
      </c>
    </row>
    <row r="1142" spans="1:3" x14ac:dyDescent="0.25">
      <c r="A1142" t="str">
        <f t="shared" si="26"/>
        <v>30</v>
      </c>
      <c r="B1142" t="str">
        <f>"30.05"</f>
        <v>30.05</v>
      </c>
      <c r="C1142" t="s">
        <v>930</v>
      </c>
    </row>
    <row r="1143" spans="1:3" x14ac:dyDescent="0.25">
      <c r="A1143" t="str">
        <f t="shared" si="26"/>
        <v>30</v>
      </c>
      <c r="B1143" t="str">
        <f>"30.0501"</f>
        <v>30.0501</v>
      </c>
      <c r="C1143" t="s">
        <v>930</v>
      </c>
    </row>
    <row r="1144" spans="1:3" x14ac:dyDescent="0.25">
      <c r="A1144" t="str">
        <f t="shared" si="26"/>
        <v>30</v>
      </c>
      <c r="B1144" t="str">
        <f>"30.06"</f>
        <v>30.06</v>
      </c>
      <c r="C1144" t="s">
        <v>931</v>
      </c>
    </row>
    <row r="1145" spans="1:3" x14ac:dyDescent="0.25">
      <c r="A1145" t="str">
        <f t="shared" si="26"/>
        <v>30</v>
      </c>
      <c r="B1145" t="str">
        <f>"30.0601"</f>
        <v>30.0601</v>
      </c>
      <c r="C1145" t="s">
        <v>931</v>
      </c>
    </row>
    <row r="1146" spans="1:3" x14ac:dyDescent="0.25">
      <c r="A1146" t="str">
        <f t="shared" si="26"/>
        <v>30</v>
      </c>
      <c r="B1146" t="str">
        <f>"30.08"</f>
        <v>30.08</v>
      </c>
      <c r="C1146" t="s">
        <v>932</v>
      </c>
    </row>
    <row r="1147" spans="1:3" x14ac:dyDescent="0.25">
      <c r="A1147" t="str">
        <f t="shared" si="26"/>
        <v>30</v>
      </c>
      <c r="B1147" t="str">
        <f>"30.0801"</f>
        <v>30.0801</v>
      </c>
      <c r="C1147" t="s">
        <v>932</v>
      </c>
    </row>
    <row r="1148" spans="1:3" x14ac:dyDescent="0.25">
      <c r="A1148" t="str">
        <f t="shared" si="26"/>
        <v>30</v>
      </c>
      <c r="B1148" t="str">
        <f>"30.10"</f>
        <v>30.10</v>
      </c>
      <c r="C1148" t="s">
        <v>933</v>
      </c>
    </row>
    <row r="1149" spans="1:3" x14ac:dyDescent="0.25">
      <c r="A1149" t="str">
        <f t="shared" si="26"/>
        <v>30</v>
      </c>
      <c r="B1149" t="str">
        <f>"30.1001"</f>
        <v>30.1001</v>
      </c>
      <c r="C1149" t="s">
        <v>933</v>
      </c>
    </row>
    <row r="1150" spans="1:3" x14ac:dyDescent="0.25">
      <c r="A1150" t="str">
        <f t="shared" si="26"/>
        <v>30</v>
      </c>
      <c r="B1150" t="str">
        <f>"30.11"</f>
        <v>30.11</v>
      </c>
      <c r="C1150" t="s">
        <v>934</v>
      </c>
    </row>
    <row r="1151" spans="1:3" x14ac:dyDescent="0.25">
      <c r="A1151" t="str">
        <f t="shared" si="26"/>
        <v>30</v>
      </c>
      <c r="B1151" t="str">
        <f>"30.1101"</f>
        <v>30.1101</v>
      </c>
      <c r="C1151" t="s">
        <v>934</v>
      </c>
    </row>
    <row r="1152" spans="1:3" x14ac:dyDescent="0.25">
      <c r="A1152" t="str">
        <f t="shared" si="26"/>
        <v>30</v>
      </c>
      <c r="B1152" t="str">
        <f>"30.12"</f>
        <v>30.12</v>
      </c>
      <c r="C1152" t="s">
        <v>935</v>
      </c>
    </row>
    <row r="1153" spans="1:3" x14ac:dyDescent="0.25">
      <c r="A1153" t="str">
        <f t="shared" si="26"/>
        <v>30</v>
      </c>
      <c r="B1153" t="str">
        <f>"30.1201"</f>
        <v>30.1201</v>
      </c>
      <c r="C1153" t="s">
        <v>1961</v>
      </c>
    </row>
    <row r="1154" spans="1:3" x14ac:dyDescent="0.25">
      <c r="A1154" t="str">
        <f t="shared" si="26"/>
        <v>30</v>
      </c>
      <c r="B1154" t="str">
        <f>"30.1202"</f>
        <v>30.1202</v>
      </c>
      <c r="C1154" t="s">
        <v>936</v>
      </c>
    </row>
    <row r="1155" spans="1:3" x14ac:dyDescent="0.25">
      <c r="A1155" t="str">
        <f t="shared" si="26"/>
        <v>30</v>
      </c>
      <c r="B1155" t="str">
        <f>"30.1299"</f>
        <v>30.1299</v>
      </c>
      <c r="C1155" t="s">
        <v>937</v>
      </c>
    </row>
    <row r="1156" spans="1:3" x14ac:dyDescent="0.25">
      <c r="A1156" t="str">
        <f t="shared" si="26"/>
        <v>30</v>
      </c>
      <c r="B1156" t="str">
        <f>"30.13"</f>
        <v>30.13</v>
      </c>
      <c r="C1156" t="s">
        <v>938</v>
      </c>
    </row>
    <row r="1157" spans="1:3" x14ac:dyDescent="0.25">
      <c r="A1157" t="str">
        <f t="shared" si="26"/>
        <v>30</v>
      </c>
      <c r="B1157" t="str">
        <f>"30.1301"</f>
        <v>30.1301</v>
      </c>
      <c r="C1157" t="s">
        <v>938</v>
      </c>
    </row>
    <row r="1158" spans="1:3" x14ac:dyDescent="0.25">
      <c r="A1158" t="str">
        <f t="shared" si="26"/>
        <v>30</v>
      </c>
      <c r="B1158" t="str">
        <f>"30.14"</f>
        <v>30.14</v>
      </c>
      <c r="C1158" t="s">
        <v>939</v>
      </c>
    </row>
    <row r="1159" spans="1:3" x14ac:dyDescent="0.25">
      <c r="A1159" t="str">
        <f t="shared" si="26"/>
        <v>30</v>
      </c>
      <c r="B1159" t="str">
        <f>"30.1401"</f>
        <v>30.1401</v>
      </c>
      <c r="C1159" t="s">
        <v>939</v>
      </c>
    </row>
    <row r="1160" spans="1:3" x14ac:dyDescent="0.25">
      <c r="A1160" t="str">
        <f t="shared" si="26"/>
        <v>30</v>
      </c>
      <c r="B1160" t="str">
        <f>"30.15"</f>
        <v>30.15</v>
      </c>
      <c r="C1160" t="s">
        <v>940</v>
      </c>
    </row>
    <row r="1161" spans="1:3" x14ac:dyDescent="0.25">
      <c r="A1161" t="str">
        <f t="shared" si="26"/>
        <v>30</v>
      </c>
      <c r="B1161" t="str">
        <f>"30.1501"</f>
        <v>30.1501</v>
      </c>
      <c r="C1161" t="s">
        <v>940</v>
      </c>
    </row>
    <row r="1162" spans="1:3" x14ac:dyDescent="0.25">
      <c r="A1162" t="str">
        <f t="shared" si="26"/>
        <v>30</v>
      </c>
      <c r="B1162" t="str">
        <f>"30.16"</f>
        <v>30.16</v>
      </c>
      <c r="C1162" t="s">
        <v>941</v>
      </c>
    </row>
    <row r="1163" spans="1:3" x14ac:dyDescent="0.25">
      <c r="A1163" t="str">
        <f t="shared" si="26"/>
        <v>30</v>
      </c>
      <c r="B1163" t="str">
        <f>"30.1601"</f>
        <v>30.1601</v>
      </c>
      <c r="C1163" t="s">
        <v>941</v>
      </c>
    </row>
    <row r="1164" spans="1:3" x14ac:dyDescent="0.25">
      <c r="A1164" t="str">
        <f t="shared" si="26"/>
        <v>30</v>
      </c>
      <c r="B1164" t="str">
        <f>"30.17"</f>
        <v>30.17</v>
      </c>
      <c r="C1164" t="s">
        <v>942</v>
      </c>
    </row>
    <row r="1165" spans="1:3" x14ac:dyDescent="0.25">
      <c r="A1165" t="str">
        <f t="shared" si="26"/>
        <v>30</v>
      </c>
      <c r="B1165" t="str">
        <f>"30.1701"</f>
        <v>30.1701</v>
      </c>
      <c r="C1165" t="s">
        <v>942</v>
      </c>
    </row>
    <row r="1166" spans="1:3" x14ac:dyDescent="0.25">
      <c r="A1166" t="str">
        <f t="shared" si="26"/>
        <v>30</v>
      </c>
      <c r="B1166" t="str">
        <f>"30.18"</f>
        <v>30.18</v>
      </c>
      <c r="C1166" t="s">
        <v>943</v>
      </c>
    </row>
    <row r="1167" spans="1:3" x14ac:dyDescent="0.25">
      <c r="A1167" t="str">
        <f t="shared" si="26"/>
        <v>30</v>
      </c>
      <c r="B1167" t="str">
        <f>"30.1801"</f>
        <v>30.1801</v>
      </c>
      <c r="C1167" t="s">
        <v>943</v>
      </c>
    </row>
    <row r="1168" spans="1:3" x14ac:dyDescent="0.25">
      <c r="A1168" t="str">
        <f t="shared" si="26"/>
        <v>30</v>
      </c>
      <c r="B1168" t="str">
        <f>"30.19"</f>
        <v>30.19</v>
      </c>
      <c r="C1168" t="s">
        <v>944</v>
      </c>
    </row>
    <row r="1169" spans="1:3" x14ac:dyDescent="0.25">
      <c r="A1169" t="str">
        <f t="shared" si="26"/>
        <v>30</v>
      </c>
      <c r="B1169" t="str">
        <f>"30.1901"</f>
        <v>30.1901</v>
      </c>
      <c r="C1169" t="s">
        <v>944</v>
      </c>
    </row>
    <row r="1170" spans="1:3" x14ac:dyDescent="0.25">
      <c r="A1170" t="str">
        <f t="shared" si="26"/>
        <v>30</v>
      </c>
      <c r="B1170" t="str">
        <f>"30.20"</f>
        <v>30.20</v>
      </c>
      <c r="C1170" t="s">
        <v>1962</v>
      </c>
    </row>
    <row r="1171" spans="1:3" x14ac:dyDescent="0.25">
      <c r="A1171" t="str">
        <f t="shared" si="26"/>
        <v>30</v>
      </c>
      <c r="B1171" t="str">
        <f>"30.2001"</f>
        <v>30.2001</v>
      </c>
      <c r="C1171" t="s">
        <v>1962</v>
      </c>
    </row>
    <row r="1172" spans="1:3" x14ac:dyDescent="0.25">
      <c r="A1172" t="str">
        <f t="shared" si="26"/>
        <v>30</v>
      </c>
      <c r="B1172" t="str">
        <f>"30.21"</f>
        <v>30.21</v>
      </c>
      <c r="C1172" t="s">
        <v>945</v>
      </c>
    </row>
    <row r="1173" spans="1:3" x14ac:dyDescent="0.25">
      <c r="A1173" t="str">
        <f t="shared" si="26"/>
        <v>30</v>
      </c>
      <c r="B1173" t="str">
        <f>"30.2101"</f>
        <v>30.2101</v>
      </c>
      <c r="C1173" t="s">
        <v>945</v>
      </c>
    </row>
    <row r="1174" spans="1:3" x14ac:dyDescent="0.25">
      <c r="A1174" t="str">
        <f t="shared" si="26"/>
        <v>30</v>
      </c>
      <c r="B1174" t="str">
        <f>"30.22"</f>
        <v>30.22</v>
      </c>
      <c r="C1174" t="s">
        <v>946</v>
      </c>
    </row>
    <row r="1175" spans="1:3" x14ac:dyDescent="0.25">
      <c r="A1175" t="str">
        <f t="shared" si="26"/>
        <v>30</v>
      </c>
      <c r="B1175" t="str">
        <f>"30.2201"</f>
        <v>30.2201</v>
      </c>
      <c r="C1175" t="s">
        <v>947</v>
      </c>
    </row>
    <row r="1176" spans="1:3" x14ac:dyDescent="0.25">
      <c r="A1176" t="str">
        <f t="shared" si="26"/>
        <v>30</v>
      </c>
      <c r="B1176" t="str">
        <f>"30.2202"</f>
        <v>30.2202</v>
      </c>
      <c r="C1176" t="s">
        <v>1963</v>
      </c>
    </row>
    <row r="1177" spans="1:3" x14ac:dyDescent="0.25">
      <c r="A1177" t="str">
        <f t="shared" si="26"/>
        <v>30</v>
      </c>
      <c r="B1177" t="str">
        <f>"30.2299"</f>
        <v>30.2299</v>
      </c>
      <c r="C1177" t="s">
        <v>1964</v>
      </c>
    </row>
    <row r="1178" spans="1:3" x14ac:dyDescent="0.25">
      <c r="A1178" t="str">
        <f t="shared" si="26"/>
        <v>30</v>
      </c>
      <c r="B1178" t="str">
        <f>"30.23"</f>
        <v>30.23</v>
      </c>
      <c r="C1178" t="s">
        <v>948</v>
      </c>
    </row>
    <row r="1179" spans="1:3" x14ac:dyDescent="0.25">
      <c r="A1179" t="str">
        <f t="shared" si="26"/>
        <v>30</v>
      </c>
      <c r="B1179" t="str">
        <f>"30.2301"</f>
        <v>30.2301</v>
      </c>
      <c r="C1179" t="s">
        <v>948</v>
      </c>
    </row>
    <row r="1180" spans="1:3" x14ac:dyDescent="0.25">
      <c r="A1180" t="str">
        <f t="shared" si="26"/>
        <v>30</v>
      </c>
      <c r="B1180" t="str">
        <f>"30.25"</f>
        <v>30.25</v>
      </c>
      <c r="C1180" t="s">
        <v>949</v>
      </c>
    </row>
    <row r="1181" spans="1:3" x14ac:dyDescent="0.25">
      <c r="A1181" t="str">
        <f t="shared" si="26"/>
        <v>30</v>
      </c>
      <c r="B1181" t="str">
        <f>"30.2501"</f>
        <v>30.2501</v>
      </c>
      <c r="C1181" t="s">
        <v>1965</v>
      </c>
    </row>
    <row r="1182" spans="1:3" x14ac:dyDescent="0.25">
      <c r="A1182" t="str">
        <f t="shared" si="26"/>
        <v>30</v>
      </c>
      <c r="B1182" t="str">
        <f>"30.2502"</f>
        <v>30.2502</v>
      </c>
      <c r="C1182" t="s">
        <v>1966</v>
      </c>
    </row>
    <row r="1183" spans="1:3" x14ac:dyDescent="0.25">
      <c r="A1183" t="str">
        <f t="shared" si="26"/>
        <v>30</v>
      </c>
      <c r="B1183" t="str">
        <f>"30.2599"</f>
        <v>30.2599</v>
      </c>
      <c r="C1183" t="s">
        <v>1967</v>
      </c>
    </row>
    <row r="1184" spans="1:3" x14ac:dyDescent="0.25">
      <c r="A1184" t="str">
        <f t="shared" si="26"/>
        <v>30</v>
      </c>
      <c r="B1184" t="str">
        <f>"30.26"</f>
        <v>30.26</v>
      </c>
      <c r="C1184" t="s">
        <v>950</v>
      </c>
    </row>
    <row r="1185" spans="1:3" x14ac:dyDescent="0.25">
      <c r="A1185" t="str">
        <f t="shared" si="26"/>
        <v>30</v>
      </c>
      <c r="B1185" t="str">
        <f>"30.2601"</f>
        <v>30.2601</v>
      </c>
      <c r="C1185" t="s">
        <v>950</v>
      </c>
    </row>
    <row r="1186" spans="1:3" x14ac:dyDescent="0.25">
      <c r="A1186" t="str">
        <f t="shared" si="26"/>
        <v>30</v>
      </c>
      <c r="B1186" t="str">
        <f>"30.27"</f>
        <v>30.27</v>
      </c>
      <c r="C1186" t="s">
        <v>951</v>
      </c>
    </row>
    <row r="1187" spans="1:3" x14ac:dyDescent="0.25">
      <c r="A1187" t="str">
        <f t="shared" si="26"/>
        <v>30</v>
      </c>
      <c r="B1187" t="str">
        <f>"30.2701"</f>
        <v>30.2701</v>
      </c>
      <c r="C1187" t="s">
        <v>951</v>
      </c>
    </row>
    <row r="1188" spans="1:3" x14ac:dyDescent="0.25">
      <c r="A1188" t="str">
        <f t="shared" si="26"/>
        <v>30</v>
      </c>
      <c r="B1188" t="str">
        <f>"30.28"</f>
        <v>30.28</v>
      </c>
      <c r="C1188" t="s">
        <v>952</v>
      </c>
    </row>
    <row r="1189" spans="1:3" x14ac:dyDescent="0.25">
      <c r="A1189" t="str">
        <f t="shared" si="26"/>
        <v>30</v>
      </c>
      <c r="B1189" t="str">
        <f>"30.2801"</f>
        <v>30.2801</v>
      </c>
      <c r="C1189" t="s">
        <v>952</v>
      </c>
    </row>
    <row r="1190" spans="1:3" x14ac:dyDescent="0.25">
      <c r="A1190" t="str">
        <f t="shared" si="26"/>
        <v>30</v>
      </c>
      <c r="B1190" t="str">
        <f>"30.29"</f>
        <v>30.29</v>
      </c>
      <c r="C1190" t="s">
        <v>953</v>
      </c>
    </row>
    <row r="1191" spans="1:3" x14ac:dyDescent="0.25">
      <c r="A1191" t="str">
        <f t="shared" si="26"/>
        <v>30</v>
      </c>
      <c r="B1191" t="str">
        <f>"30.2901"</f>
        <v>30.2901</v>
      </c>
      <c r="C1191" t="s">
        <v>953</v>
      </c>
    </row>
    <row r="1192" spans="1:3" x14ac:dyDescent="0.25">
      <c r="A1192" t="str">
        <f t="shared" si="26"/>
        <v>30</v>
      </c>
      <c r="B1192" t="str">
        <f>"30.30"</f>
        <v>30.30</v>
      </c>
      <c r="C1192" t="s">
        <v>954</v>
      </c>
    </row>
    <row r="1193" spans="1:3" x14ac:dyDescent="0.25">
      <c r="A1193" t="str">
        <f t="shared" si="26"/>
        <v>30</v>
      </c>
      <c r="B1193" t="str">
        <f>"30.3001"</f>
        <v>30.3001</v>
      </c>
      <c r="C1193" t="s">
        <v>954</v>
      </c>
    </row>
    <row r="1194" spans="1:3" x14ac:dyDescent="0.25">
      <c r="A1194" t="str">
        <f t="shared" si="26"/>
        <v>30</v>
      </c>
      <c r="B1194" t="str">
        <f>"30.31"</f>
        <v>30.31</v>
      </c>
      <c r="C1194" t="s">
        <v>955</v>
      </c>
    </row>
    <row r="1195" spans="1:3" x14ac:dyDescent="0.25">
      <c r="A1195" t="str">
        <f t="shared" si="26"/>
        <v>30</v>
      </c>
      <c r="B1195" t="str">
        <f>"30.3101"</f>
        <v>30.3101</v>
      </c>
      <c r="C1195" t="s">
        <v>955</v>
      </c>
    </row>
    <row r="1196" spans="1:3" x14ac:dyDescent="0.25">
      <c r="A1196" t="str">
        <f t="shared" si="26"/>
        <v>30</v>
      </c>
      <c r="B1196" t="str">
        <f>"30.32"</f>
        <v>30.32</v>
      </c>
      <c r="C1196" t="s">
        <v>956</v>
      </c>
    </row>
    <row r="1197" spans="1:3" x14ac:dyDescent="0.25">
      <c r="A1197" t="str">
        <f t="shared" si="26"/>
        <v>30</v>
      </c>
      <c r="B1197" t="str">
        <f>"30.3201"</f>
        <v>30.3201</v>
      </c>
      <c r="C1197" t="s">
        <v>956</v>
      </c>
    </row>
    <row r="1198" spans="1:3" x14ac:dyDescent="0.25">
      <c r="A1198" t="str">
        <f t="shared" si="26"/>
        <v>30</v>
      </c>
      <c r="B1198" t="str">
        <f>"30.33"</f>
        <v>30.33</v>
      </c>
      <c r="C1198" t="s">
        <v>957</v>
      </c>
    </row>
    <row r="1199" spans="1:3" x14ac:dyDescent="0.25">
      <c r="A1199" t="str">
        <f t="shared" si="26"/>
        <v>30</v>
      </c>
      <c r="B1199" t="str">
        <f>"30.3301"</f>
        <v>30.3301</v>
      </c>
      <c r="C1199" t="s">
        <v>957</v>
      </c>
    </row>
    <row r="1200" spans="1:3" x14ac:dyDescent="0.25">
      <c r="A1200" t="str">
        <f t="shared" si="26"/>
        <v>30</v>
      </c>
      <c r="B1200" t="str">
        <f>"30.34"</f>
        <v>30.34</v>
      </c>
      <c r="C1200" t="s">
        <v>1968</v>
      </c>
    </row>
    <row r="1201" spans="1:3" x14ac:dyDescent="0.25">
      <c r="A1201" t="str">
        <f t="shared" ref="A1201:A1253" si="27">"30"</f>
        <v>30</v>
      </c>
      <c r="B1201" t="str">
        <f>"30.3401"</f>
        <v>30.3401</v>
      </c>
      <c r="C1201" t="s">
        <v>1968</v>
      </c>
    </row>
    <row r="1202" spans="1:3" x14ac:dyDescent="0.25">
      <c r="A1202" t="str">
        <f t="shared" si="27"/>
        <v>30</v>
      </c>
      <c r="B1202" t="str">
        <f>"30.35"</f>
        <v>30.35</v>
      </c>
      <c r="C1202" t="s">
        <v>1969</v>
      </c>
    </row>
    <row r="1203" spans="1:3" x14ac:dyDescent="0.25">
      <c r="A1203" t="str">
        <f t="shared" si="27"/>
        <v>30</v>
      </c>
      <c r="B1203" t="str">
        <f>"30.3501"</f>
        <v>30.3501</v>
      </c>
      <c r="C1203" t="s">
        <v>1969</v>
      </c>
    </row>
    <row r="1204" spans="1:3" x14ac:dyDescent="0.25">
      <c r="A1204" t="str">
        <f t="shared" si="27"/>
        <v>30</v>
      </c>
      <c r="B1204" t="str">
        <f>"30.36"</f>
        <v>30.36</v>
      </c>
      <c r="C1204" t="s">
        <v>1970</v>
      </c>
    </row>
    <row r="1205" spans="1:3" x14ac:dyDescent="0.25">
      <c r="A1205" t="str">
        <f t="shared" si="27"/>
        <v>30</v>
      </c>
      <c r="B1205" t="str">
        <f>"30.3601"</f>
        <v>30.3601</v>
      </c>
      <c r="C1205" t="s">
        <v>1970</v>
      </c>
    </row>
    <row r="1206" spans="1:3" x14ac:dyDescent="0.25">
      <c r="A1206" t="str">
        <f t="shared" si="27"/>
        <v>30</v>
      </c>
      <c r="B1206" t="str">
        <f>"30.37"</f>
        <v>30.37</v>
      </c>
      <c r="C1206" t="s">
        <v>1971</v>
      </c>
    </row>
    <row r="1207" spans="1:3" x14ac:dyDescent="0.25">
      <c r="A1207" t="str">
        <f t="shared" si="27"/>
        <v>30</v>
      </c>
      <c r="B1207" t="str">
        <f>"30.3701"</f>
        <v>30.3701</v>
      </c>
      <c r="C1207" t="s">
        <v>1971</v>
      </c>
    </row>
    <row r="1208" spans="1:3" x14ac:dyDescent="0.25">
      <c r="A1208" t="str">
        <f t="shared" si="27"/>
        <v>30</v>
      </c>
      <c r="B1208" t="str">
        <f>"30.38"</f>
        <v>30.38</v>
      </c>
      <c r="C1208" t="s">
        <v>1972</v>
      </c>
    </row>
    <row r="1209" spans="1:3" x14ac:dyDescent="0.25">
      <c r="A1209" t="str">
        <f t="shared" si="27"/>
        <v>30</v>
      </c>
      <c r="B1209" t="str">
        <f>"30.3801"</f>
        <v>30.3801</v>
      </c>
      <c r="C1209" t="s">
        <v>1972</v>
      </c>
    </row>
    <row r="1210" spans="1:3" x14ac:dyDescent="0.25">
      <c r="A1210" t="str">
        <f t="shared" si="27"/>
        <v>30</v>
      </c>
      <c r="B1210" t="str">
        <f>"30.39"</f>
        <v>30.39</v>
      </c>
      <c r="C1210" t="s">
        <v>1973</v>
      </c>
    </row>
    <row r="1211" spans="1:3" x14ac:dyDescent="0.25">
      <c r="A1211" t="str">
        <f t="shared" si="27"/>
        <v>30</v>
      </c>
      <c r="B1211" t="str">
        <f>"30.3901"</f>
        <v>30.3901</v>
      </c>
      <c r="C1211" t="s">
        <v>1973</v>
      </c>
    </row>
    <row r="1212" spans="1:3" x14ac:dyDescent="0.25">
      <c r="A1212" t="str">
        <f t="shared" si="27"/>
        <v>30</v>
      </c>
      <c r="B1212" t="str">
        <f>"30.40"</f>
        <v>30.40</v>
      </c>
      <c r="C1212" t="s">
        <v>1974</v>
      </c>
    </row>
    <row r="1213" spans="1:3" x14ac:dyDescent="0.25">
      <c r="A1213" t="str">
        <f t="shared" si="27"/>
        <v>30</v>
      </c>
      <c r="B1213" t="str">
        <f>"30.4001"</f>
        <v>30.4001</v>
      </c>
      <c r="C1213" t="s">
        <v>1974</v>
      </c>
    </row>
    <row r="1214" spans="1:3" x14ac:dyDescent="0.25">
      <c r="A1214" t="str">
        <f t="shared" si="27"/>
        <v>30</v>
      </c>
      <c r="B1214" t="str">
        <f>"30.41"</f>
        <v>30.41</v>
      </c>
      <c r="C1214" t="s">
        <v>1975</v>
      </c>
    </row>
    <row r="1215" spans="1:3" x14ac:dyDescent="0.25">
      <c r="A1215" t="str">
        <f t="shared" si="27"/>
        <v>30</v>
      </c>
      <c r="B1215" t="str">
        <f>"30.4101"</f>
        <v>30.4101</v>
      </c>
      <c r="C1215" t="s">
        <v>1975</v>
      </c>
    </row>
    <row r="1216" spans="1:3" x14ac:dyDescent="0.25">
      <c r="A1216" t="str">
        <f t="shared" si="27"/>
        <v>30</v>
      </c>
      <c r="B1216" t="str">
        <f>"30.42"</f>
        <v>30.42</v>
      </c>
      <c r="C1216" t="s">
        <v>1976</v>
      </c>
    </row>
    <row r="1217" spans="1:3" x14ac:dyDescent="0.25">
      <c r="A1217" t="str">
        <f t="shared" si="27"/>
        <v>30</v>
      </c>
      <c r="B1217" t="str">
        <f>"30.4201"</f>
        <v>30.4201</v>
      </c>
      <c r="C1217" t="s">
        <v>1976</v>
      </c>
    </row>
    <row r="1218" spans="1:3" x14ac:dyDescent="0.25">
      <c r="A1218" t="str">
        <f t="shared" si="27"/>
        <v>30</v>
      </c>
      <c r="B1218" t="str">
        <f>"30.43"</f>
        <v>30.43</v>
      </c>
      <c r="C1218" t="s">
        <v>1977</v>
      </c>
    </row>
    <row r="1219" spans="1:3" x14ac:dyDescent="0.25">
      <c r="A1219" t="str">
        <f t="shared" si="27"/>
        <v>30</v>
      </c>
      <c r="B1219" t="str">
        <f>"30.4301"</f>
        <v>30.4301</v>
      </c>
      <c r="C1219" t="s">
        <v>1977</v>
      </c>
    </row>
    <row r="1220" spans="1:3" x14ac:dyDescent="0.25">
      <c r="A1220" t="str">
        <f t="shared" si="27"/>
        <v>30</v>
      </c>
      <c r="B1220" t="str">
        <f>"30.44"</f>
        <v>30.44</v>
      </c>
      <c r="C1220" t="s">
        <v>1978</v>
      </c>
    </row>
    <row r="1221" spans="1:3" x14ac:dyDescent="0.25">
      <c r="A1221" t="str">
        <f t="shared" si="27"/>
        <v>30</v>
      </c>
      <c r="B1221" t="str">
        <f>"30.4401"</f>
        <v>30.4401</v>
      </c>
      <c r="C1221" t="s">
        <v>1978</v>
      </c>
    </row>
    <row r="1222" spans="1:3" x14ac:dyDescent="0.25">
      <c r="A1222" t="str">
        <f t="shared" si="27"/>
        <v>30</v>
      </c>
      <c r="B1222" t="str">
        <f>"30.45"</f>
        <v>30.45</v>
      </c>
      <c r="C1222" t="s">
        <v>1979</v>
      </c>
    </row>
    <row r="1223" spans="1:3" x14ac:dyDescent="0.25">
      <c r="A1223" t="str">
        <f t="shared" si="27"/>
        <v>30</v>
      </c>
      <c r="B1223" t="str">
        <f>"30.4501"</f>
        <v>30.4501</v>
      </c>
      <c r="C1223" t="s">
        <v>1979</v>
      </c>
    </row>
    <row r="1224" spans="1:3" x14ac:dyDescent="0.25">
      <c r="A1224" t="str">
        <f t="shared" si="27"/>
        <v>30</v>
      </c>
      <c r="B1224" t="str">
        <f>"30.46"</f>
        <v>30.46</v>
      </c>
      <c r="C1224" t="s">
        <v>1980</v>
      </c>
    </row>
    <row r="1225" spans="1:3" x14ac:dyDescent="0.25">
      <c r="A1225" t="str">
        <f t="shared" si="27"/>
        <v>30</v>
      </c>
      <c r="B1225" t="str">
        <f>"30.4601"</f>
        <v>30.4601</v>
      </c>
      <c r="C1225" t="s">
        <v>1980</v>
      </c>
    </row>
    <row r="1226" spans="1:3" x14ac:dyDescent="0.25">
      <c r="A1226" t="str">
        <f t="shared" si="27"/>
        <v>30</v>
      </c>
      <c r="B1226" t="str">
        <f>"30.47"</f>
        <v>30.47</v>
      </c>
      <c r="C1226" t="s">
        <v>1981</v>
      </c>
    </row>
    <row r="1227" spans="1:3" x14ac:dyDescent="0.25">
      <c r="A1227" t="str">
        <f t="shared" si="27"/>
        <v>30</v>
      </c>
      <c r="B1227" t="str">
        <f>"30.4701"</f>
        <v>30.4701</v>
      </c>
      <c r="C1227" t="s">
        <v>1981</v>
      </c>
    </row>
    <row r="1228" spans="1:3" x14ac:dyDescent="0.25">
      <c r="A1228" t="str">
        <f t="shared" si="27"/>
        <v>30</v>
      </c>
      <c r="B1228" t="str">
        <f>"30.48"</f>
        <v>30.48</v>
      </c>
      <c r="C1228" t="s">
        <v>1982</v>
      </c>
    </row>
    <row r="1229" spans="1:3" x14ac:dyDescent="0.25">
      <c r="A1229" t="str">
        <f t="shared" si="27"/>
        <v>30</v>
      </c>
      <c r="B1229" t="str">
        <f>"30.4801"</f>
        <v>30.4801</v>
      </c>
      <c r="C1229" t="s">
        <v>1982</v>
      </c>
    </row>
    <row r="1230" spans="1:3" x14ac:dyDescent="0.25">
      <c r="A1230" t="str">
        <f t="shared" si="27"/>
        <v>30</v>
      </c>
      <c r="B1230" t="str">
        <f>"30.49"</f>
        <v>30.49</v>
      </c>
      <c r="C1230" t="s">
        <v>1983</v>
      </c>
    </row>
    <row r="1231" spans="1:3" x14ac:dyDescent="0.25">
      <c r="A1231" t="str">
        <f t="shared" si="27"/>
        <v>30</v>
      </c>
      <c r="B1231" t="str">
        <f>"30.4901"</f>
        <v>30.4901</v>
      </c>
      <c r="C1231" t="s">
        <v>1983</v>
      </c>
    </row>
    <row r="1232" spans="1:3" x14ac:dyDescent="0.25">
      <c r="A1232" t="str">
        <f t="shared" si="27"/>
        <v>30</v>
      </c>
      <c r="B1232" t="str">
        <f>"30.50"</f>
        <v>30.50</v>
      </c>
      <c r="C1232" t="s">
        <v>1984</v>
      </c>
    </row>
    <row r="1233" spans="1:3" x14ac:dyDescent="0.25">
      <c r="A1233" t="str">
        <f t="shared" si="27"/>
        <v>30</v>
      </c>
      <c r="B1233" t="str">
        <f>"30.5001"</f>
        <v>30.5001</v>
      </c>
      <c r="C1233" t="s">
        <v>1984</v>
      </c>
    </row>
    <row r="1234" spans="1:3" x14ac:dyDescent="0.25">
      <c r="A1234" t="str">
        <f t="shared" si="27"/>
        <v>30</v>
      </c>
      <c r="B1234" t="str">
        <f>"30.51"</f>
        <v>30.51</v>
      </c>
      <c r="C1234" t="s">
        <v>1985</v>
      </c>
    </row>
    <row r="1235" spans="1:3" x14ac:dyDescent="0.25">
      <c r="A1235" t="str">
        <f t="shared" si="27"/>
        <v>30</v>
      </c>
      <c r="B1235" t="str">
        <f>"30.5101"</f>
        <v>30.5101</v>
      </c>
      <c r="C1235" t="s">
        <v>1985</v>
      </c>
    </row>
    <row r="1236" spans="1:3" x14ac:dyDescent="0.25">
      <c r="A1236" t="str">
        <f t="shared" si="27"/>
        <v>30</v>
      </c>
      <c r="B1236" t="str">
        <f>"30.52"</f>
        <v>30.52</v>
      </c>
      <c r="C1236" t="s">
        <v>1986</v>
      </c>
    </row>
    <row r="1237" spans="1:3" x14ac:dyDescent="0.25">
      <c r="A1237" t="str">
        <f t="shared" si="27"/>
        <v>30</v>
      </c>
      <c r="B1237" t="str">
        <f>"30.5201"</f>
        <v>30.5201</v>
      </c>
      <c r="C1237" t="s">
        <v>1987</v>
      </c>
    </row>
    <row r="1238" spans="1:3" x14ac:dyDescent="0.25">
      <c r="A1238" t="str">
        <f t="shared" si="27"/>
        <v>30</v>
      </c>
      <c r="B1238" t="str">
        <f>"30.5202"</f>
        <v>30.5202</v>
      </c>
      <c r="C1238" t="s">
        <v>1988</v>
      </c>
    </row>
    <row r="1239" spans="1:3" x14ac:dyDescent="0.25">
      <c r="A1239" t="str">
        <f t="shared" si="27"/>
        <v>30</v>
      </c>
      <c r="B1239" t="str">
        <f>"30.5203"</f>
        <v>30.5203</v>
      </c>
      <c r="C1239" t="s">
        <v>1989</v>
      </c>
    </row>
    <row r="1240" spans="1:3" x14ac:dyDescent="0.25">
      <c r="A1240" t="str">
        <f t="shared" si="27"/>
        <v>30</v>
      </c>
      <c r="B1240" t="str">
        <f>"30.5299"</f>
        <v>30.5299</v>
      </c>
      <c r="C1240" t="s">
        <v>1990</v>
      </c>
    </row>
    <row r="1241" spans="1:3" x14ac:dyDescent="0.25">
      <c r="A1241" t="str">
        <f t="shared" si="27"/>
        <v>30</v>
      </c>
      <c r="B1241" t="str">
        <f>"30.53"</f>
        <v>30.53</v>
      </c>
      <c r="C1241" t="s">
        <v>1991</v>
      </c>
    </row>
    <row r="1242" spans="1:3" x14ac:dyDescent="0.25">
      <c r="A1242" t="str">
        <f t="shared" si="27"/>
        <v>30</v>
      </c>
      <c r="B1242" t="str">
        <f>"30.5301"</f>
        <v>30.5301</v>
      </c>
      <c r="C1242" t="s">
        <v>1991</v>
      </c>
    </row>
    <row r="1243" spans="1:3" x14ac:dyDescent="0.25">
      <c r="A1243" t="str">
        <f t="shared" si="27"/>
        <v>30</v>
      </c>
      <c r="B1243" t="str">
        <f>"30.70"</f>
        <v>30.70</v>
      </c>
      <c r="C1243" t="s">
        <v>1992</v>
      </c>
    </row>
    <row r="1244" spans="1:3" x14ac:dyDescent="0.25">
      <c r="A1244" t="str">
        <f t="shared" si="27"/>
        <v>30</v>
      </c>
      <c r="B1244" t="str">
        <f>"30.7001"</f>
        <v>30.7001</v>
      </c>
      <c r="C1244" t="s">
        <v>1993</v>
      </c>
    </row>
    <row r="1245" spans="1:3" x14ac:dyDescent="0.25">
      <c r="A1245" t="str">
        <f t="shared" si="27"/>
        <v>30</v>
      </c>
      <c r="B1245" t="str">
        <f>"30.7099"</f>
        <v>30.7099</v>
      </c>
      <c r="C1245" t="s">
        <v>1994</v>
      </c>
    </row>
    <row r="1246" spans="1:3" x14ac:dyDescent="0.25">
      <c r="A1246" t="str">
        <f t="shared" si="27"/>
        <v>30</v>
      </c>
      <c r="B1246" t="str">
        <f>"30.71"</f>
        <v>30.71</v>
      </c>
      <c r="C1246" t="s">
        <v>1995</v>
      </c>
    </row>
    <row r="1247" spans="1:3" x14ac:dyDescent="0.25">
      <c r="A1247" t="str">
        <f t="shared" si="27"/>
        <v>30</v>
      </c>
      <c r="B1247" t="str">
        <f>"30.7101"</f>
        <v>30.7101</v>
      </c>
      <c r="C1247" t="s">
        <v>1996</v>
      </c>
    </row>
    <row r="1248" spans="1:3" x14ac:dyDescent="0.25">
      <c r="A1248" t="str">
        <f t="shared" si="27"/>
        <v>30</v>
      </c>
      <c r="B1248" t="str">
        <f>"30.7102"</f>
        <v>30.7102</v>
      </c>
      <c r="C1248" t="s">
        <v>1997</v>
      </c>
    </row>
    <row r="1249" spans="1:3" x14ac:dyDescent="0.25">
      <c r="A1249" t="str">
        <f t="shared" si="27"/>
        <v>30</v>
      </c>
      <c r="B1249" t="str">
        <f>"30.7103"</f>
        <v>30.7103</v>
      </c>
      <c r="C1249" t="s">
        <v>1998</v>
      </c>
    </row>
    <row r="1250" spans="1:3" x14ac:dyDescent="0.25">
      <c r="A1250" t="str">
        <f t="shared" si="27"/>
        <v>30</v>
      </c>
      <c r="B1250" t="str">
        <f>"30.7104"</f>
        <v>30.7104</v>
      </c>
      <c r="C1250" t="s">
        <v>1999</v>
      </c>
    </row>
    <row r="1251" spans="1:3" x14ac:dyDescent="0.25">
      <c r="A1251" t="str">
        <f t="shared" si="27"/>
        <v>30</v>
      </c>
      <c r="B1251" t="str">
        <f>"30.7199"</f>
        <v>30.7199</v>
      </c>
      <c r="C1251" t="s">
        <v>2000</v>
      </c>
    </row>
    <row r="1252" spans="1:3" x14ac:dyDescent="0.25">
      <c r="A1252" t="str">
        <f t="shared" si="27"/>
        <v>30</v>
      </c>
      <c r="B1252" t="str">
        <f>"30.99"</f>
        <v>30.99</v>
      </c>
      <c r="C1252" t="s">
        <v>958</v>
      </c>
    </row>
    <row r="1253" spans="1:3" x14ac:dyDescent="0.25">
      <c r="A1253" t="str">
        <f t="shared" si="27"/>
        <v>30</v>
      </c>
      <c r="B1253" t="str">
        <f>"30.9999"</f>
        <v>30.9999</v>
      </c>
      <c r="C1253" t="s">
        <v>2001</v>
      </c>
    </row>
    <row r="1254" spans="1:3" x14ac:dyDescent="0.25">
      <c r="A1254" t="str">
        <f>"31"</f>
        <v>31</v>
      </c>
      <c r="B1254" t="str">
        <f>"31"</f>
        <v>31</v>
      </c>
      <c r="C1254" t="s">
        <v>2002</v>
      </c>
    </row>
    <row r="1255" spans="1:3" x14ac:dyDescent="0.25">
      <c r="A1255" t="str">
        <f t="shared" ref="A1255:A1271" si="28">"31"</f>
        <v>31</v>
      </c>
      <c r="B1255" t="str">
        <f>"31.01"</f>
        <v>31.01</v>
      </c>
      <c r="C1255" t="s">
        <v>2003</v>
      </c>
    </row>
    <row r="1256" spans="1:3" x14ac:dyDescent="0.25">
      <c r="A1256" t="str">
        <f t="shared" si="28"/>
        <v>31</v>
      </c>
      <c r="B1256" t="str">
        <f>"31.0101"</f>
        <v>31.0101</v>
      </c>
      <c r="C1256" t="s">
        <v>2003</v>
      </c>
    </row>
    <row r="1257" spans="1:3" x14ac:dyDescent="0.25">
      <c r="A1257" t="str">
        <f t="shared" si="28"/>
        <v>31</v>
      </c>
      <c r="B1257" t="str">
        <f>"31.03"</f>
        <v>31.03</v>
      </c>
      <c r="C1257" t="s">
        <v>2004</v>
      </c>
    </row>
    <row r="1258" spans="1:3" x14ac:dyDescent="0.25">
      <c r="A1258" t="str">
        <f t="shared" si="28"/>
        <v>31</v>
      </c>
      <c r="B1258" t="str">
        <f>"31.0301"</f>
        <v>31.0301</v>
      </c>
      <c r="C1258" t="s">
        <v>2005</v>
      </c>
    </row>
    <row r="1259" spans="1:3" x14ac:dyDescent="0.25">
      <c r="A1259" t="str">
        <f t="shared" si="28"/>
        <v>31</v>
      </c>
      <c r="B1259" t="str">
        <f>"31.0302"</f>
        <v>31.0302</v>
      </c>
      <c r="C1259" t="s">
        <v>959</v>
      </c>
    </row>
    <row r="1260" spans="1:3" x14ac:dyDescent="0.25">
      <c r="A1260" t="str">
        <f t="shared" si="28"/>
        <v>31</v>
      </c>
      <c r="B1260" t="str">
        <f>"31.0399"</f>
        <v>31.0399</v>
      </c>
      <c r="C1260" t="s">
        <v>2006</v>
      </c>
    </row>
    <row r="1261" spans="1:3" x14ac:dyDescent="0.25">
      <c r="A1261" t="str">
        <f t="shared" si="28"/>
        <v>31</v>
      </c>
      <c r="B1261" t="str">
        <f>"31.05"</f>
        <v>31.05</v>
      </c>
      <c r="C1261" t="s">
        <v>2007</v>
      </c>
    </row>
    <row r="1262" spans="1:3" x14ac:dyDescent="0.25">
      <c r="A1262" t="str">
        <f t="shared" si="28"/>
        <v>31</v>
      </c>
      <c r="B1262" t="str">
        <f>"31.0501"</f>
        <v>31.0501</v>
      </c>
      <c r="C1262" t="s">
        <v>2008</v>
      </c>
    </row>
    <row r="1263" spans="1:3" x14ac:dyDescent="0.25">
      <c r="A1263" t="str">
        <f t="shared" si="28"/>
        <v>31</v>
      </c>
      <c r="B1263" t="str">
        <f>"31.0504"</f>
        <v>31.0504</v>
      </c>
      <c r="C1263" t="s">
        <v>960</v>
      </c>
    </row>
    <row r="1264" spans="1:3" x14ac:dyDescent="0.25">
      <c r="A1264" t="str">
        <f t="shared" si="28"/>
        <v>31</v>
      </c>
      <c r="B1264" t="str">
        <f>"31.0505"</f>
        <v>31.0505</v>
      </c>
      <c r="C1264" t="s">
        <v>2009</v>
      </c>
    </row>
    <row r="1265" spans="1:3" x14ac:dyDescent="0.25">
      <c r="A1265" t="str">
        <f t="shared" si="28"/>
        <v>31</v>
      </c>
      <c r="B1265" t="str">
        <f>"31.0507"</f>
        <v>31.0507</v>
      </c>
      <c r="C1265" t="s">
        <v>961</v>
      </c>
    </row>
    <row r="1266" spans="1:3" x14ac:dyDescent="0.25">
      <c r="A1266" t="str">
        <f t="shared" si="28"/>
        <v>31</v>
      </c>
      <c r="B1266" t="str">
        <f>"31.0508"</f>
        <v>31.0508</v>
      </c>
      <c r="C1266" t="s">
        <v>962</v>
      </c>
    </row>
    <row r="1267" spans="1:3" x14ac:dyDescent="0.25">
      <c r="A1267" t="str">
        <f t="shared" si="28"/>
        <v>31</v>
      </c>
      <c r="B1267" t="str">
        <f>"31.0599"</f>
        <v>31.0599</v>
      </c>
      <c r="C1267" t="s">
        <v>2010</v>
      </c>
    </row>
    <row r="1268" spans="1:3" x14ac:dyDescent="0.25">
      <c r="A1268" t="str">
        <f t="shared" si="28"/>
        <v>31</v>
      </c>
      <c r="B1268" t="str">
        <f>"31.06"</f>
        <v>31.06</v>
      </c>
      <c r="C1268" t="s">
        <v>963</v>
      </c>
    </row>
    <row r="1269" spans="1:3" x14ac:dyDescent="0.25">
      <c r="A1269" t="str">
        <f t="shared" si="28"/>
        <v>31</v>
      </c>
      <c r="B1269" t="str">
        <f>"31.0601"</f>
        <v>31.0601</v>
      </c>
      <c r="C1269" t="s">
        <v>963</v>
      </c>
    </row>
    <row r="1270" spans="1:3" x14ac:dyDescent="0.25">
      <c r="A1270" t="str">
        <f t="shared" si="28"/>
        <v>31</v>
      </c>
      <c r="B1270" t="str">
        <f>"31.99"</f>
        <v>31.99</v>
      </c>
      <c r="C1270" t="s">
        <v>2011</v>
      </c>
    </row>
    <row r="1271" spans="1:3" x14ac:dyDescent="0.25">
      <c r="A1271" t="str">
        <f t="shared" si="28"/>
        <v>31</v>
      </c>
      <c r="B1271" t="str">
        <f>"31.9999"</f>
        <v>31.9999</v>
      </c>
      <c r="C1271" t="s">
        <v>2011</v>
      </c>
    </row>
    <row r="1272" spans="1:3" x14ac:dyDescent="0.25">
      <c r="A1272" t="str">
        <f>"32"</f>
        <v>32</v>
      </c>
      <c r="B1272" t="str">
        <f>"32"</f>
        <v>32</v>
      </c>
      <c r="C1272" t="s">
        <v>964</v>
      </c>
    </row>
    <row r="1273" spans="1:3" x14ac:dyDescent="0.25">
      <c r="A1273" t="str">
        <f t="shared" ref="A1273:A1290" si="29">"32"</f>
        <v>32</v>
      </c>
      <c r="B1273" t="str">
        <f>"32.01"</f>
        <v>32.01</v>
      </c>
      <c r="C1273" t="s">
        <v>965</v>
      </c>
    </row>
    <row r="1274" spans="1:3" x14ac:dyDescent="0.25">
      <c r="A1274" t="str">
        <f t="shared" si="29"/>
        <v>32</v>
      </c>
      <c r="B1274" t="str">
        <f>"32.0101"</f>
        <v>32.0101</v>
      </c>
      <c r="C1274" t="s">
        <v>966</v>
      </c>
    </row>
    <row r="1275" spans="1:3" x14ac:dyDescent="0.25">
      <c r="A1275" t="str">
        <f t="shared" si="29"/>
        <v>32</v>
      </c>
      <c r="B1275" t="str">
        <f>"32.0104"</f>
        <v>32.0104</v>
      </c>
      <c r="C1275" t="s">
        <v>967</v>
      </c>
    </row>
    <row r="1276" spans="1:3" x14ac:dyDescent="0.25">
      <c r="A1276" t="str">
        <f t="shared" si="29"/>
        <v>32</v>
      </c>
      <c r="B1276" t="str">
        <f>"32.0105"</f>
        <v>32.0105</v>
      </c>
      <c r="C1276" t="s">
        <v>968</v>
      </c>
    </row>
    <row r="1277" spans="1:3" x14ac:dyDescent="0.25">
      <c r="A1277" t="str">
        <f t="shared" si="29"/>
        <v>32</v>
      </c>
      <c r="B1277" t="str">
        <f>"32.0107"</f>
        <v>32.0107</v>
      </c>
      <c r="C1277" t="s">
        <v>969</v>
      </c>
    </row>
    <row r="1278" spans="1:3" x14ac:dyDescent="0.25">
      <c r="A1278" t="str">
        <f t="shared" si="29"/>
        <v>32</v>
      </c>
      <c r="B1278" t="str">
        <f>"32.0108"</f>
        <v>32.0108</v>
      </c>
      <c r="C1278" t="s">
        <v>970</v>
      </c>
    </row>
    <row r="1279" spans="1:3" x14ac:dyDescent="0.25">
      <c r="A1279" t="str">
        <f t="shared" si="29"/>
        <v>32</v>
      </c>
      <c r="B1279" t="str">
        <f>"32.0109"</f>
        <v>32.0109</v>
      </c>
      <c r="C1279" t="s">
        <v>971</v>
      </c>
    </row>
    <row r="1280" spans="1:3" x14ac:dyDescent="0.25">
      <c r="A1280" t="str">
        <f t="shared" si="29"/>
        <v>32</v>
      </c>
      <c r="B1280" t="str">
        <f>"32.0110"</f>
        <v>32.0110</v>
      </c>
      <c r="C1280" t="s">
        <v>972</v>
      </c>
    </row>
    <row r="1281" spans="1:3" x14ac:dyDescent="0.25">
      <c r="A1281" t="str">
        <f t="shared" si="29"/>
        <v>32</v>
      </c>
      <c r="B1281" t="str">
        <f>"32.0111"</f>
        <v>32.0111</v>
      </c>
      <c r="C1281" t="s">
        <v>973</v>
      </c>
    </row>
    <row r="1282" spans="1:3" x14ac:dyDescent="0.25">
      <c r="A1282" t="str">
        <f t="shared" si="29"/>
        <v>32</v>
      </c>
      <c r="B1282" t="str">
        <f>"32.0112"</f>
        <v>32.0112</v>
      </c>
      <c r="C1282" t="s">
        <v>2012</v>
      </c>
    </row>
    <row r="1283" spans="1:3" x14ac:dyDescent="0.25">
      <c r="A1283" t="str">
        <f t="shared" si="29"/>
        <v>32</v>
      </c>
      <c r="B1283" t="str">
        <f>"32.0199"</f>
        <v>32.0199</v>
      </c>
      <c r="C1283" t="s">
        <v>974</v>
      </c>
    </row>
    <row r="1284" spans="1:3" x14ac:dyDescent="0.25">
      <c r="A1284" t="str">
        <f t="shared" si="29"/>
        <v>32</v>
      </c>
      <c r="B1284" t="str">
        <f>"32.02"</f>
        <v>32.02</v>
      </c>
      <c r="C1284" t="s">
        <v>2013</v>
      </c>
    </row>
    <row r="1285" spans="1:3" x14ac:dyDescent="0.25">
      <c r="A1285" t="str">
        <f t="shared" si="29"/>
        <v>32</v>
      </c>
      <c r="B1285" t="str">
        <f>"32.0201"</f>
        <v>32.0201</v>
      </c>
      <c r="C1285" t="s">
        <v>2014</v>
      </c>
    </row>
    <row r="1286" spans="1:3" x14ac:dyDescent="0.25">
      <c r="A1286" t="str">
        <f t="shared" si="29"/>
        <v>32</v>
      </c>
      <c r="B1286" t="str">
        <f>"32.0202"</f>
        <v>32.0202</v>
      </c>
      <c r="C1286" t="s">
        <v>2015</v>
      </c>
    </row>
    <row r="1287" spans="1:3" x14ac:dyDescent="0.25">
      <c r="A1287" t="str">
        <f t="shared" si="29"/>
        <v>32</v>
      </c>
      <c r="B1287" t="str">
        <f>"32.0203"</f>
        <v>32.0203</v>
      </c>
      <c r="C1287" t="s">
        <v>2016</v>
      </c>
    </row>
    <row r="1288" spans="1:3" x14ac:dyDescent="0.25">
      <c r="A1288" t="str">
        <f t="shared" si="29"/>
        <v>32</v>
      </c>
      <c r="B1288" t="str">
        <f>"32.0204"</f>
        <v>32.0204</v>
      </c>
      <c r="C1288" t="s">
        <v>2017</v>
      </c>
    </row>
    <row r="1289" spans="1:3" x14ac:dyDescent="0.25">
      <c r="A1289" t="str">
        <f t="shared" si="29"/>
        <v>32</v>
      </c>
      <c r="B1289" t="str">
        <f>"32.0205"</f>
        <v>32.0205</v>
      </c>
      <c r="C1289" t="s">
        <v>2018</v>
      </c>
    </row>
    <row r="1290" spans="1:3" x14ac:dyDescent="0.25">
      <c r="A1290" t="str">
        <f t="shared" si="29"/>
        <v>32</v>
      </c>
      <c r="B1290" t="str">
        <f>"32.0299"</f>
        <v>32.0299</v>
      </c>
      <c r="C1290" t="s">
        <v>2019</v>
      </c>
    </row>
    <row r="1291" spans="1:3" x14ac:dyDescent="0.25">
      <c r="A1291" t="str">
        <f>"33"</f>
        <v>33</v>
      </c>
      <c r="B1291" t="str">
        <f>"33"</f>
        <v>33</v>
      </c>
      <c r="C1291" t="s">
        <v>975</v>
      </c>
    </row>
    <row r="1292" spans="1:3" x14ac:dyDescent="0.25">
      <c r="A1292" t="str">
        <f t="shared" ref="A1292:A1299" si="30">"33"</f>
        <v>33</v>
      </c>
      <c r="B1292" t="str">
        <f>"33.01"</f>
        <v>33.01</v>
      </c>
      <c r="C1292" t="s">
        <v>976</v>
      </c>
    </row>
    <row r="1293" spans="1:3" x14ac:dyDescent="0.25">
      <c r="A1293" t="str">
        <f t="shared" si="30"/>
        <v>33</v>
      </c>
      <c r="B1293" t="str">
        <f>"33.0101"</f>
        <v>33.0101</v>
      </c>
      <c r="C1293" t="s">
        <v>977</v>
      </c>
    </row>
    <row r="1294" spans="1:3" x14ac:dyDescent="0.25">
      <c r="A1294" t="str">
        <f t="shared" si="30"/>
        <v>33</v>
      </c>
      <c r="B1294" t="str">
        <f>"33.0102"</f>
        <v>33.0102</v>
      </c>
      <c r="C1294" t="s">
        <v>978</v>
      </c>
    </row>
    <row r="1295" spans="1:3" x14ac:dyDescent="0.25">
      <c r="A1295" t="str">
        <f t="shared" si="30"/>
        <v>33</v>
      </c>
      <c r="B1295" t="str">
        <f>"33.0103"</f>
        <v>33.0103</v>
      </c>
      <c r="C1295" t="s">
        <v>979</v>
      </c>
    </row>
    <row r="1296" spans="1:3" x14ac:dyDescent="0.25">
      <c r="A1296" t="str">
        <f t="shared" si="30"/>
        <v>33</v>
      </c>
      <c r="B1296" t="str">
        <f>"33.0104"</f>
        <v>33.0104</v>
      </c>
      <c r="C1296" t="s">
        <v>980</v>
      </c>
    </row>
    <row r="1297" spans="1:3" x14ac:dyDescent="0.25">
      <c r="A1297" t="str">
        <f t="shared" si="30"/>
        <v>33</v>
      </c>
      <c r="B1297" t="str">
        <f>"33.0105"</f>
        <v>33.0105</v>
      </c>
      <c r="C1297" t="s">
        <v>981</v>
      </c>
    </row>
    <row r="1298" spans="1:3" x14ac:dyDescent="0.25">
      <c r="A1298" t="str">
        <f t="shared" si="30"/>
        <v>33</v>
      </c>
      <c r="B1298" t="str">
        <f>"33.0106"</f>
        <v>33.0106</v>
      </c>
      <c r="C1298" t="s">
        <v>2020</v>
      </c>
    </row>
    <row r="1299" spans="1:3" x14ac:dyDescent="0.25">
      <c r="A1299" t="str">
        <f t="shared" si="30"/>
        <v>33</v>
      </c>
      <c r="B1299" t="str">
        <f>"33.0199"</f>
        <v>33.0199</v>
      </c>
      <c r="C1299" t="s">
        <v>982</v>
      </c>
    </row>
    <row r="1300" spans="1:3" x14ac:dyDescent="0.25">
      <c r="A1300" t="str">
        <f>"34"</f>
        <v>34</v>
      </c>
      <c r="B1300" t="str">
        <f>"34"</f>
        <v>34</v>
      </c>
      <c r="C1300" t="s">
        <v>983</v>
      </c>
    </row>
    <row r="1301" spans="1:3" x14ac:dyDescent="0.25">
      <c r="A1301" t="str">
        <f t="shared" ref="A1301:A1306" si="31">"34"</f>
        <v>34</v>
      </c>
      <c r="B1301" t="str">
        <f>"34.01"</f>
        <v>34.01</v>
      </c>
      <c r="C1301" t="s">
        <v>984</v>
      </c>
    </row>
    <row r="1302" spans="1:3" x14ac:dyDescent="0.25">
      <c r="A1302" t="str">
        <f t="shared" si="31"/>
        <v>34</v>
      </c>
      <c r="B1302" t="str">
        <f>"34.0102"</f>
        <v>34.0102</v>
      </c>
      <c r="C1302" t="s">
        <v>985</v>
      </c>
    </row>
    <row r="1303" spans="1:3" x14ac:dyDescent="0.25">
      <c r="A1303" t="str">
        <f t="shared" si="31"/>
        <v>34</v>
      </c>
      <c r="B1303" t="str">
        <f>"34.0103"</f>
        <v>34.0103</v>
      </c>
      <c r="C1303" t="s">
        <v>986</v>
      </c>
    </row>
    <row r="1304" spans="1:3" x14ac:dyDescent="0.25">
      <c r="A1304" t="str">
        <f t="shared" si="31"/>
        <v>34</v>
      </c>
      <c r="B1304" t="str">
        <f>"34.0104"</f>
        <v>34.0104</v>
      </c>
      <c r="C1304" t="s">
        <v>987</v>
      </c>
    </row>
    <row r="1305" spans="1:3" x14ac:dyDescent="0.25">
      <c r="A1305" t="str">
        <f t="shared" si="31"/>
        <v>34</v>
      </c>
      <c r="B1305" t="str">
        <f>"34.0105"</f>
        <v>34.0105</v>
      </c>
      <c r="C1305" t="s">
        <v>2021</v>
      </c>
    </row>
    <row r="1306" spans="1:3" x14ac:dyDescent="0.25">
      <c r="A1306" t="str">
        <f t="shared" si="31"/>
        <v>34</v>
      </c>
      <c r="B1306" t="str">
        <f>"34.0199"</f>
        <v>34.0199</v>
      </c>
      <c r="C1306" t="s">
        <v>988</v>
      </c>
    </row>
    <row r="1307" spans="1:3" x14ac:dyDescent="0.25">
      <c r="A1307" t="str">
        <f>"35"</f>
        <v>35</v>
      </c>
      <c r="B1307" t="str">
        <f>"35"</f>
        <v>35</v>
      </c>
      <c r="C1307" t="s">
        <v>989</v>
      </c>
    </row>
    <row r="1308" spans="1:3" x14ac:dyDescent="0.25">
      <c r="A1308" t="str">
        <f t="shared" ref="A1308:A1313" si="32">"35"</f>
        <v>35</v>
      </c>
      <c r="B1308" t="str">
        <f>"35.01"</f>
        <v>35.01</v>
      </c>
      <c r="C1308" t="s">
        <v>990</v>
      </c>
    </row>
    <row r="1309" spans="1:3" x14ac:dyDescent="0.25">
      <c r="A1309" t="str">
        <f t="shared" si="32"/>
        <v>35</v>
      </c>
      <c r="B1309" t="str">
        <f>"35.0101"</f>
        <v>35.0101</v>
      </c>
      <c r="C1309" t="s">
        <v>991</v>
      </c>
    </row>
    <row r="1310" spans="1:3" x14ac:dyDescent="0.25">
      <c r="A1310" t="str">
        <f t="shared" si="32"/>
        <v>35</v>
      </c>
      <c r="B1310" t="str">
        <f>"35.0102"</f>
        <v>35.0102</v>
      </c>
      <c r="C1310" t="s">
        <v>992</v>
      </c>
    </row>
    <row r="1311" spans="1:3" x14ac:dyDescent="0.25">
      <c r="A1311" t="str">
        <f t="shared" si="32"/>
        <v>35</v>
      </c>
      <c r="B1311" t="str">
        <f>"35.0103"</f>
        <v>35.0103</v>
      </c>
      <c r="C1311" t="s">
        <v>993</v>
      </c>
    </row>
    <row r="1312" spans="1:3" x14ac:dyDescent="0.25">
      <c r="A1312" t="str">
        <f t="shared" si="32"/>
        <v>35</v>
      </c>
      <c r="B1312" t="str">
        <f>"35.0105"</f>
        <v>35.0105</v>
      </c>
      <c r="C1312" t="s">
        <v>2022</v>
      </c>
    </row>
    <row r="1313" spans="1:3" x14ac:dyDescent="0.25">
      <c r="A1313" t="str">
        <f t="shared" si="32"/>
        <v>35</v>
      </c>
      <c r="B1313" t="str">
        <f>"35.0199"</f>
        <v>35.0199</v>
      </c>
      <c r="C1313" t="s">
        <v>994</v>
      </c>
    </row>
    <row r="1314" spans="1:3" x14ac:dyDescent="0.25">
      <c r="A1314" t="str">
        <f>"36"</f>
        <v>36</v>
      </c>
      <c r="B1314" t="str">
        <f>"36"</f>
        <v>36</v>
      </c>
      <c r="C1314" t="s">
        <v>995</v>
      </c>
    </row>
    <row r="1315" spans="1:3" x14ac:dyDescent="0.25">
      <c r="A1315" t="str">
        <f t="shared" ref="A1315:A1346" si="33">"36"</f>
        <v>36</v>
      </c>
      <c r="B1315" t="str">
        <f>"36.01"</f>
        <v>36.01</v>
      </c>
      <c r="C1315" t="s">
        <v>996</v>
      </c>
    </row>
    <row r="1316" spans="1:3" x14ac:dyDescent="0.25">
      <c r="A1316" t="str">
        <f t="shared" si="33"/>
        <v>36</v>
      </c>
      <c r="B1316" t="str">
        <f>"36.0101"</f>
        <v>36.0101</v>
      </c>
      <c r="C1316" t="s">
        <v>997</v>
      </c>
    </row>
    <row r="1317" spans="1:3" x14ac:dyDescent="0.25">
      <c r="A1317" t="str">
        <f t="shared" si="33"/>
        <v>36</v>
      </c>
      <c r="B1317" t="str">
        <f>"36.0102"</f>
        <v>36.0102</v>
      </c>
      <c r="C1317" t="s">
        <v>998</v>
      </c>
    </row>
    <row r="1318" spans="1:3" x14ac:dyDescent="0.25">
      <c r="A1318" t="str">
        <f t="shared" si="33"/>
        <v>36</v>
      </c>
      <c r="B1318" t="str">
        <f>"36.0103"</f>
        <v>36.0103</v>
      </c>
      <c r="C1318" t="s">
        <v>999</v>
      </c>
    </row>
    <row r="1319" spans="1:3" x14ac:dyDescent="0.25">
      <c r="A1319" t="str">
        <f t="shared" si="33"/>
        <v>36</v>
      </c>
      <c r="B1319" t="str">
        <f>"36.0105"</f>
        <v>36.0105</v>
      </c>
      <c r="C1319" t="s">
        <v>1000</v>
      </c>
    </row>
    <row r="1320" spans="1:3" x14ac:dyDescent="0.25">
      <c r="A1320" t="str">
        <f t="shared" si="33"/>
        <v>36</v>
      </c>
      <c r="B1320" t="str">
        <f>"36.0106"</f>
        <v>36.0106</v>
      </c>
      <c r="C1320" t="s">
        <v>1001</v>
      </c>
    </row>
    <row r="1321" spans="1:3" x14ac:dyDescent="0.25">
      <c r="A1321" t="str">
        <f t="shared" si="33"/>
        <v>36</v>
      </c>
      <c r="B1321" t="str">
        <f>"36.0107"</f>
        <v>36.0107</v>
      </c>
      <c r="C1321" t="s">
        <v>1002</v>
      </c>
    </row>
    <row r="1322" spans="1:3" x14ac:dyDescent="0.25">
      <c r="A1322" t="str">
        <f t="shared" si="33"/>
        <v>36</v>
      </c>
      <c r="B1322" t="str">
        <f>"36.0108"</f>
        <v>36.0108</v>
      </c>
      <c r="C1322" t="s">
        <v>1003</v>
      </c>
    </row>
    <row r="1323" spans="1:3" x14ac:dyDescent="0.25">
      <c r="A1323" t="str">
        <f t="shared" si="33"/>
        <v>36</v>
      </c>
      <c r="B1323" t="str">
        <f>"36.0109"</f>
        <v>36.0109</v>
      </c>
      <c r="C1323" t="s">
        <v>1004</v>
      </c>
    </row>
    <row r="1324" spans="1:3" x14ac:dyDescent="0.25">
      <c r="A1324" t="str">
        <f t="shared" si="33"/>
        <v>36</v>
      </c>
      <c r="B1324" t="str">
        <f>"36.0110"</f>
        <v>36.0110</v>
      </c>
      <c r="C1324" t="s">
        <v>1005</v>
      </c>
    </row>
    <row r="1325" spans="1:3" x14ac:dyDescent="0.25">
      <c r="A1325" t="str">
        <f t="shared" si="33"/>
        <v>36</v>
      </c>
      <c r="B1325" t="str">
        <f>"36.0111"</f>
        <v>36.0111</v>
      </c>
      <c r="C1325" t="s">
        <v>1006</v>
      </c>
    </row>
    <row r="1326" spans="1:3" x14ac:dyDescent="0.25">
      <c r="A1326" t="str">
        <f t="shared" si="33"/>
        <v>36</v>
      </c>
      <c r="B1326" t="str">
        <f>"36.0112"</f>
        <v>36.0112</v>
      </c>
      <c r="C1326" t="s">
        <v>1007</v>
      </c>
    </row>
    <row r="1327" spans="1:3" x14ac:dyDescent="0.25">
      <c r="A1327" t="str">
        <f t="shared" si="33"/>
        <v>36</v>
      </c>
      <c r="B1327" t="str">
        <f>"36.0113"</f>
        <v>36.0113</v>
      </c>
      <c r="C1327" t="s">
        <v>1008</v>
      </c>
    </row>
    <row r="1328" spans="1:3" x14ac:dyDescent="0.25">
      <c r="A1328" t="str">
        <f t="shared" si="33"/>
        <v>36</v>
      </c>
      <c r="B1328" t="str">
        <f>"36.0114"</f>
        <v>36.0114</v>
      </c>
      <c r="C1328" t="s">
        <v>1009</v>
      </c>
    </row>
    <row r="1329" spans="1:3" x14ac:dyDescent="0.25">
      <c r="A1329" t="str">
        <f t="shared" si="33"/>
        <v>36</v>
      </c>
      <c r="B1329" t="str">
        <f>"36.0115"</f>
        <v>36.0115</v>
      </c>
      <c r="C1329" t="s">
        <v>1010</v>
      </c>
    </row>
    <row r="1330" spans="1:3" x14ac:dyDescent="0.25">
      <c r="A1330" t="str">
        <f t="shared" si="33"/>
        <v>36</v>
      </c>
      <c r="B1330" t="str">
        <f>"36.0116"</f>
        <v>36.0116</v>
      </c>
      <c r="C1330" t="s">
        <v>1011</v>
      </c>
    </row>
    <row r="1331" spans="1:3" x14ac:dyDescent="0.25">
      <c r="A1331" t="str">
        <f t="shared" si="33"/>
        <v>36</v>
      </c>
      <c r="B1331" t="str">
        <f>"36.0117"</f>
        <v>36.0117</v>
      </c>
      <c r="C1331" t="s">
        <v>1012</v>
      </c>
    </row>
    <row r="1332" spans="1:3" x14ac:dyDescent="0.25">
      <c r="A1332" t="str">
        <f t="shared" si="33"/>
        <v>36</v>
      </c>
      <c r="B1332" t="str">
        <f>"36.0118"</f>
        <v>36.0118</v>
      </c>
      <c r="C1332" t="s">
        <v>1013</v>
      </c>
    </row>
    <row r="1333" spans="1:3" x14ac:dyDescent="0.25">
      <c r="A1333" t="str">
        <f t="shared" si="33"/>
        <v>36</v>
      </c>
      <c r="B1333" t="str">
        <f>"36.0119"</f>
        <v>36.0119</v>
      </c>
      <c r="C1333" t="s">
        <v>1014</v>
      </c>
    </row>
    <row r="1334" spans="1:3" x14ac:dyDescent="0.25">
      <c r="A1334" t="str">
        <f t="shared" si="33"/>
        <v>36</v>
      </c>
      <c r="B1334" t="str">
        <f>"36.0120"</f>
        <v>36.0120</v>
      </c>
      <c r="C1334" t="s">
        <v>2023</v>
      </c>
    </row>
    <row r="1335" spans="1:3" x14ac:dyDescent="0.25">
      <c r="A1335" t="str">
        <f t="shared" si="33"/>
        <v>36</v>
      </c>
      <c r="B1335" t="str">
        <f>"36.0121"</f>
        <v>36.0121</v>
      </c>
      <c r="C1335" t="s">
        <v>2024</v>
      </c>
    </row>
    <row r="1336" spans="1:3" x14ac:dyDescent="0.25">
      <c r="A1336" t="str">
        <f t="shared" si="33"/>
        <v>36</v>
      </c>
      <c r="B1336" t="str">
        <f>"36.0122"</f>
        <v>36.0122</v>
      </c>
      <c r="C1336" t="s">
        <v>2025</v>
      </c>
    </row>
    <row r="1337" spans="1:3" x14ac:dyDescent="0.25">
      <c r="A1337" t="str">
        <f t="shared" si="33"/>
        <v>36</v>
      </c>
      <c r="B1337" t="str">
        <f>"36.0123"</f>
        <v>36.0123</v>
      </c>
      <c r="C1337" t="s">
        <v>2026</v>
      </c>
    </row>
    <row r="1338" spans="1:3" x14ac:dyDescent="0.25">
      <c r="A1338" t="str">
        <f t="shared" si="33"/>
        <v>36</v>
      </c>
      <c r="B1338" t="str">
        <f>"36.0199"</f>
        <v>36.0199</v>
      </c>
      <c r="C1338" t="s">
        <v>1015</v>
      </c>
    </row>
    <row r="1339" spans="1:3" x14ac:dyDescent="0.25">
      <c r="A1339" t="str">
        <f t="shared" si="33"/>
        <v>36</v>
      </c>
      <c r="B1339" t="str">
        <f>"36.02"</f>
        <v>36.02</v>
      </c>
      <c r="C1339" t="s">
        <v>2027</v>
      </c>
    </row>
    <row r="1340" spans="1:3" x14ac:dyDescent="0.25">
      <c r="A1340" t="str">
        <f t="shared" si="33"/>
        <v>36</v>
      </c>
      <c r="B1340" t="str">
        <f>"36.0202"</f>
        <v>36.0202</v>
      </c>
      <c r="C1340" t="s">
        <v>1014</v>
      </c>
    </row>
    <row r="1341" spans="1:3" x14ac:dyDescent="0.25">
      <c r="A1341" t="str">
        <f t="shared" si="33"/>
        <v>36</v>
      </c>
      <c r="B1341" t="str">
        <f>"36.0203"</f>
        <v>36.0203</v>
      </c>
      <c r="C1341" t="s">
        <v>2028</v>
      </c>
    </row>
    <row r="1342" spans="1:3" x14ac:dyDescent="0.25">
      <c r="A1342" t="str">
        <f t="shared" si="33"/>
        <v>36</v>
      </c>
      <c r="B1342" t="str">
        <f>"36.0204"</f>
        <v>36.0204</v>
      </c>
      <c r="C1342" t="s">
        <v>2029</v>
      </c>
    </row>
    <row r="1343" spans="1:3" x14ac:dyDescent="0.25">
      <c r="A1343" t="str">
        <f t="shared" si="33"/>
        <v>36</v>
      </c>
      <c r="B1343" t="str">
        <f>"36.0205"</f>
        <v>36.0205</v>
      </c>
      <c r="C1343" t="s">
        <v>2030</v>
      </c>
    </row>
    <row r="1344" spans="1:3" x14ac:dyDescent="0.25">
      <c r="A1344" t="str">
        <f t="shared" si="33"/>
        <v>36</v>
      </c>
      <c r="B1344" t="str">
        <f>"36.0206"</f>
        <v>36.0206</v>
      </c>
      <c r="C1344" t="s">
        <v>2031</v>
      </c>
    </row>
    <row r="1345" spans="1:3" x14ac:dyDescent="0.25">
      <c r="A1345" t="str">
        <f t="shared" si="33"/>
        <v>36</v>
      </c>
      <c r="B1345" t="str">
        <f>"36.0207"</f>
        <v>36.0207</v>
      </c>
      <c r="C1345" t="s">
        <v>2032</v>
      </c>
    </row>
    <row r="1346" spans="1:3" x14ac:dyDescent="0.25">
      <c r="A1346" t="str">
        <f t="shared" si="33"/>
        <v>36</v>
      </c>
      <c r="B1346" t="str">
        <f>"36.0299"</f>
        <v>36.0299</v>
      </c>
      <c r="C1346" t="s">
        <v>2033</v>
      </c>
    </row>
    <row r="1347" spans="1:3" x14ac:dyDescent="0.25">
      <c r="A1347" t="str">
        <f>"37"</f>
        <v>37</v>
      </c>
      <c r="B1347" t="str">
        <f>"37"</f>
        <v>37</v>
      </c>
      <c r="C1347" t="s">
        <v>1016</v>
      </c>
    </row>
    <row r="1348" spans="1:3" x14ac:dyDescent="0.25">
      <c r="A1348" t="str">
        <f t="shared" ref="A1348:A1355" si="34">"37"</f>
        <v>37</v>
      </c>
      <c r="B1348" t="str">
        <f>"37.01"</f>
        <v>37.01</v>
      </c>
      <c r="C1348" t="s">
        <v>1017</v>
      </c>
    </row>
    <row r="1349" spans="1:3" x14ac:dyDescent="0.25">
      <c r="A1349" t="str">
        <f t="shared" si="34"/>
        <v>37</v>
      </c>
      <c r="B1349" t="str">
        <f>"37.0101"</f>
        <v>37.0101</v>
      </c>
      <c r="C1349" t="s">
        <v>1018</v>
      </c>
    </row>
    <row r="1350" spans="1:3" x14ac:dyDescent="0.25">
      <c r="A1350" t="str">
        <f t="shared" si="34"/>
        <v>37</v>
      </c>
      <c r="B1350" t="str">
        <f>"37.0102"</f>
        <v>37.0102</v>
      </c>
      <c r="C1350" t="s">
        <v>1019</v>
      </c>
    </row>
    <row r="1351" spans="1:3" x14ac:dyDescent="0.25">
      <c r="A1351" t="str">
        <f t="shared" si="34"/>
        <v>37</v>
      </c>
      <c r="B1351" t="str">
        <f>"37.0103"</f>
        <v>37.0103</v>
      </c>
      <c r="C1351" t="s">
        <v>1020</v>
      </c>
    </row>
    <row r="1352" spans="1:3" x14ac:dyDescent="0.25">
      <c r="A1352" t="str">
        <f t="shared" si="34"/>
        <v>37</v>
      </c>
      <c r="B1352" t="str">
        <f>"37.0104"</f>
        <v>37.0104</v>
      </c>
      <c r="C1352" t="s">
        <v>1021</v>
      </c>
    </row>
    <row r="1353" spans="1:3" x14ac:dyDescent="0.25">
      <c r="A1353" t="str">
        <f t="shared" si="34"/>
        <v>37</v>
      </c>
      <c r="B1353" t="str">
        <f>"37.0106"</f>
        <v>37.0106</v>
      </c>
      <c r="C1353" t="s">
        <v>2034</v>
      </c>
    </row>
    <row r="1354" spans="1:3" x14ac:dyDescent="0.25">
      <c r="A1354" t="str">
        <f t="shared" si="34"/>
        <v>37</v>
      </c>
      <c r="B1354" t="str">
        <f>"37.0107"</f>
        <v>37.0107</v>
      </c>
      <c r="C1354" t="s">
        <v>2035</v>
      </c>
    </row>
    <row r="1355" spans="1:3" x14ac:dyDescent="0.25">
      <c r="A1355" t="str">
        <f t="shared" si="34"/>
        <v>37</v>
      </c>
      <c r="B1355" t="str">
        <f>"37.0199"</f>
        <v>37.0199</v>
      </c>
      <c r="C1355" t="s">
        <v>1022</v>
      </c>
    </row>
    <row r="1356" spans="1:3" x14ac:dyDescent="0.25">
      <c r="A1356" t="str">
        <f>"38"</f>
        <v>38</v>
      </c>
      <c r="B1356" t="str">
        <f>"38"</f>
        <v>38</v>
      </c>
      <c r="C1356" t="s">
        <v>1023</v>
      </c>
    </row>
    <row r="1357" spans="1:3" x14ac:dyDescent="0.25">
      <c r="A1357" t="str">
        <f t="shared" ref="A1357:A1377" si="35">"38"</f>
        <v>38</v>
      </c>
      <c r="B1357" t="str">
        <f>"38.00"</f>
        <v>38.00</v>
      </c>
      <c r="C1357" t="s">
        <v>1024</v>
      </c>
    </row>
    <row r="1358" spans="1:3" x14ac:dyDescent="0.25">
      <c r="A1358" t="str">
        <f t="shared" si="35"/>
        <v>38</v>
      </c>
      <c r="B1358" t="str">
        <f>"38.0001"</f>
        <v>38.0001</v>
      </c>
      <c r="C1358" t="s">
        <v>1024</v>
      </c>
    </row>
    <row r="1359" spans="1:3" x14ac:dyDescent="0.25">
      <c r="A1359" t="str">
        <f t="shared" si="35"/>
        <v>38</v>
      </c>
      <c r="B1359" t="str">
        <f>"38.01"</f>
        <v>38.01</v>
      </c>
      <c r="C1359" t="s">
        <v>1025</v>
      </c>
    </row>
    <row r="1360" spans="1:3" x14ac:dyDescent="0.25">
      <c r="A1360" t="str">
        <f t="shared" si="35"/>
        <v>38</v>
      </c>
      <c r="B1360" t="str">
        <f>"38.0101"</f>
        <v>38.0101</v>
      </c>
      <c r="C1360" t="s">
        <v>1025</v>
      </c>
    </row>
    <row r="1361" spans="1:3" x14ac:dyDescent="0.25">
      <c r="A1361" t="str">
        <f t="shared" si="35"/>
        <v>38</v>
      </c>
      <c r="B1361" t="str">
        <f>"38.0102"</f>
        <v>38.0102</v>
      </c>
      <c r="C1361" t="s">
        <v>1026</v>
      </c>
    </row>
    <row r="1362" spans="1:3" x14ac:dyDescent="0.25">
      <c r="A1362" t="str">
        <f t="shared" si="35"/>
        <v>38</v>
      </c>
      <c r="B1362" t="str">
        <f>"38.0103"</f>
        <v>38.0103</v>
      </c>
      <c r="C1362" t="s">
        <v>1027</v>
      </c>
    </row>
    <row r="1363" spans="1:3" x14ac:dyDescent="0.25">
      <c r="A1363" t="str">
        <f t="shared" si="35"/>
        <v>38</v>
      </c>
      <c r="B1363" t="str">
        <f>"38.0104"</f>
        <v>38.0104</v>
      </c>
      <c r="C1363" t="s">
        <v>1028</v>
      </c>
    </row>
    <row r="1364" spans="1:3" x14ac:dyDescent="0.25">
      <c r="A1364" t="str">
        <f t="shared" si="35"/>
        <v>38</v>
      </c>
      <c r="B1364" t="str">
        <f>"38.0199"</f>
        <v>38.0199</v>
      </c>
      <c r="C1364" t="s">
        <v>1029</v>
      </c>
    </row>
    <row r="1365" spans="1:3" x14ac:dyDescent="0.25">
      <c r="A1365" t="str">
        <f t="shared" si="35"/>
        <v>38</v>
      </c>
      <c r="B1365" t="str">
        <f>"38.02"</f>
        <v>38.02</v>
      </c>
      <c r="C1365" t="s">
        <v>1030</v>
      </c>
    </row>
    <row r="1366" spans="1:3" x14ac:dyDescent="0.25">
      <c r="A1366" t="str">
        <f t="shared" si="35"/>
        <v>38</v>
      </c>
      <c r="B1366" t="str">
        <f>"38.0201"</f>
        <v>38.0201</v>
      </c>
      <c r="C1366" t="s">
        <v>1030</v>
      </c>
    </row>
    <row r="1367" spans="1:3" x14ac:dyDescent="0.25">
      <c r="A1367" t="str">
        <f t="shared" si="35"/>
        <v>38</v>
      </c>
      <c r="B1367" t="str">
        <f>"38.0202"</f>
        <v>38.0202</v>
      </c>
      <c r="C1367" t="s">
        <v>1031</v>
      </c>
    </row>
    <row r="1368" spans="1:3" x14ac:dyDescent="0.25">
      <c r="A1368" t="str">
        <f t="shared" si="35"/>
        <v>38</v>
      </c>
      <c r="B1368" t="str">
        <f>"38.0203"</f>
        <v>38.0203</v>
      </c>
      <c r="C1368" t="s">
        <v>1032</v>
      </c>
    </row>
    <row r="1369" spans="1:3" x14ac:dyDescent="0.25">
      <c r="A1369" t="str">
        <f t="shared" si="35"/>
        <v>38</v>
      </c>
      <c r="B1369" t="str">
        <f>"38.0204"</f>
        <v>38.0204</v>
      </c>
      <c r="C1369" t="s">
        <v>1033</v>
      </c>
    </row>
    <row r="1370" spans="1:3" x14ac:dyDescent="0.25">
      <c r="A1370" t="str">
        <f t="shared" si="35"/>
        <v>38</v>
      </c>
      <c r="B1370" t="str">
        <f>"38.0205"</f>
        <v>38.0205</v>
      </c>
      <c r="C1370" t="s">
        <v>1034</v>
      </c>
    </row>
    <row r="1371" spans="1:3" x14ac:dyDescent="0.25">
      <c r="A1371" t="str">
        <f t="shared" si="35"/>
        <v>38</v>
      </c>
      <c r="B1371" t="str">
        <f>"38.0206"</f>
        <v>38.0206</v>
      </c>
      <c r="C1371" t="s">
        <v>1035</v>
      </c>
    </row>
    <row r="1372" spans="1:3" x14ac:dyDescent="0.25">
      <c r="A1372" t="str">
        <f t="shared" si="35"/>
        <v>38</v>
      </c>
      <c r="B1372" t="str">
        <f>"38.0207"</f>
        <v>38.0207</v>
      </c>
      <c r="C1372" t="s">
        <v>1048</v>
      </c>
    </row>
    <row r="1373" spans="1:3" x14ac:dyDescent="0.25">
      <c r="A1373" t="str">
        <f t="shared" si="35"/>
        <v>38</v>
      </c>
      <c r="B1373" t="str">
        <f>"38.0208"</f>
        <v>38.0208</v>
      </c>
      <c r="C1373" t="s">
        <v>2036</v>
      </c>
    </row>
    <row r="1374" spans="1:3" x14ac:dyDescent="0.25">
      <c r="A1374" t="str">
        <f t="shared" si="35"/>
        <v>38</v>
      </c>
      <c r="B1374" t="str">
        <f>"38.0209"</f>
        <v>38.0209</v>
      </c>
      <c r="C1374" t="s">
        <v>2037</v>
      </c>
    </row>
    <row r="1375" spans="1:3" x14ac:dyDescent="0.25">
      <c r="A1375" t="str">
        <f t="shared" si="35"/>
        <v>38</v>
      </c>
      <c r="B1375" t="str">
        <f>"38.0299"</f>
        <v>38.0299</v>
      </c>
      <c r="C1375" t="s">
        <v>1036</v>
      </c>
    </row>
    <row r="1376" spans="1:3" x14ac:dyDescent="0.25">
      <c r="A1376" t="str">
        <f t="shared" si="35"/>
        <v>38</v>
      </c>
      <c r="B1376" t="str">
        <f>"38.99"</f>
        <v>38.99</v>
      </c>
      <c r="C1376" t="s">
        <v>1037</v>
      </c>
    </row>
    <row r="1377" spans="1:3" x14ac:dyDescent="0.25">
      <c r="A1377" t="str">
        <f t="shared" si="35"/>
        <v>38</v>
      </c>
      <c r="B1377" t="str">
        <f>"38.9999"</f>
        <v>38.9999</v>
      </c>
      <c r="C1377" t="s">
        <v>1037</v>
      </c>
    </row>
    <row r="1378" spans="1:3" x14ac:dyDescent="0.25">
      <c r="A1378" t="str">
        <f>"39"</f>
        <v>39</v>
      </c>
      <c r="B1378" t="str">
        <f>"39"</f>
        <v>39</v>
      </c>
      <c r="C1378" t="s">
        <v>1038</v>
      </c>
    </row>
    <row r="1379" spans="1:3" x14ac:dyDescent="0.25">
      <c r="A1379" t="str">
        <f t="shared" ref="A1379:A1411" si="36">"39"</f>
        <v>39</v>
      </c>
      <c r="B1379" t="str">
        <f>"39.02"</f>
        <v>39.02</v>
      </c>
      <c r="C1379" t="s">
        <v>1039</v>
      </c>
    </row>
    <row r="1380" spans="1:3" x14ac:dyDescent="0.25">
      <c r="A1380" t="str">
        <f t="shared" si="36"/>
        <v>39</v>
      </c>
      <c r="B1380" t="str">
        <f>"39.0201"</f>
        <v>39.0201</v>
      </c>
      <c r="C1380" t="s">
        <v>1039</v>
      </c>
    </row>
    <row r="1381" spans="1:3" x14ac:dyDescent="0.25">
      <c r="A1381" t="str">
        <f t="shared" si="36"/>
        <v>39</v>
      </c>
      <c r="B1381" t="str">
        <f>"39.03"</f>
        <v>39.03</v>
      </c>
      <c r="C1381" t="s">
        <v>1040</v>
      </c>
    </row>
    <row r="1382" spans="1:3" x14ac:dyDescent="0.25">
      <c r="A1382" t="str">
        <f t="shared" si="36"/>
        <v>39</v>
      </c>
      <c r="B1382" t="str">
        <f>"39.0301"</f>
        <v>39.0301</v>
      </c>
      <c r="C1382" t="s">
        <v>2038</v>
      </c>
    </row>
    <row r="1383" spans="1:3" x14ac:dyDescent="0.25">
      <c r="A1383" t="str">
        <f t="shared" si="36"/>
        <v>39</v>
      </c>
      <c r="B1383" t="str">
        <f>"39.0302"</f>
        <v>39.0302</v>
      </c>
      <c r="C1383" t="s">
        <v>2039</v>
      </c>
    </row>
    <row r="1384" spans="1:3" x14ac:dyDescent="0.25">
      <c r="A1384" t="str">
        <f t="shared" si="36"/>
        <v>39</v>
      </c>
      <c r="B1384" t="str">
        <f>"39.0399"</f>
        <v>39.0399</v>
      </c>
      <c r="C1384" t="s">
        <v>2040</v>
      </c>
    </row>
    <row r="1385" spans="1:3" x14ac:dyDescent="0.25">
      <c r="A1385" t="str">
        <f t="shared" si="36"/>
        <v>39</v>
      </c>
      <c r="B1385" t="str">
        <f>"39.04"</f>
        <v>39.04</v>
      </c>
      <c r="C1385" t="s">
        <v>1041</v>
      </c>
    </row>
    <row r="1386" spans="1:3" x14ac:dyDescent="0.25">
      <c r="A1386" t="str">
        <f t="shared" si="36"/>
        <v>39</v>
      </c>
      <c r="B1386" t="str">
        <f>"39.0401"</f>
        <v>39.0401</v>
      </c>
      <c r="C1386" t="s">
        <v>1041</v>
      </c>
    </row>
    <row r="1387" spans="1:3" x14ac:dyDescent="0.25">
      <c r="A1387" t="str">
        <f t="shared" si="36"/>
        <v>39</v>
      </c>
      <c r="B1387" t="str">
        <f>"39.05"</f>
        <v>39.05</v>
      </c>
      <c r="C1387" t="s">
        <v>2041</v>
      </c>
    </row>
    <row r="1388" spans="1:3" x14ac:dyDescent="0.25">
      <c r="A1388" t="str">
        <f t="shared" si="36"/>
        <v>39</v>
      </c>
      <c r="B1388" t="str">
        <f>"39.0501"</f>
        <v>39.0501</v>
      </c>
      <c r="C1388" t="s">
        <v>1042</v>
      </c>
    </row>
    <row r="1389" spans="1:3" x14ac:dyDescent="0.25">
      <c r="A1389" t="str">
        <f t="shared" si="36"/>
        <v>39</v>
      </c>
      <c r="B1389" t="str">
        <f>"39.0502"</f>
        <v>39.0502</v>
      </c>
      <c r="C1389" t="s">
        <v>2042</v>
      </c>
    </row>
    <row r="1390" spans="1:3" x14ac:dyDescent="0.25">
      <c r="A1390" t="str">
        <f t="shared" si="36"/>
        <v>39</v>
      </c>
      <c r="B1390" t="str">
        <f>"39.0599"</f>
        <v>39.0599</v>
      </c>
      <c r="C1390" t="s">
        <v>2043</v>
      </c>
    </row>
    <row r="1391" spans="1:3" x14ac:dyDescent="0.25">
      <c r="A1391" t="str">
        <f t="shared" si="36"/>
        <v>39</v>
      </c>
      <c r="B1391" t="str">
        <f>"39.06"</f>
        <v>39.06</v>
      </c>
      <c r="C1391" t="s">
        <v>1043</v>
      </c>
    </row>
    <row r="1392" spans="1:3" x14ac:dyDescent="0.25">
      <c r="A1392" t="str">
        <f t="shared" si="36"/>
        <v>39</v>
      </c>
      <c r="B1392" t="str">
        <f>"39.0601"</f>
        <v>39.0601</v>
      </c>
      <c r="C1392" t="s">
        <v>1044</v>
      </c>
    </row>
    <row r="1393" spans="1:3" x14ac:dyDescent="0.25">
      <c r="A1393" t="str">
        <f t="shared" si="36"/>
        <v>39</v>
      </c>
      <c r="B1393" t="str">
        <f>"39.0602"</f>
        <v>39.0602</v>
      </c>
      <c r="C1393" t="s">
        <v>1045</v>
      </c>
    </row>
    <row r="1394" spans="1:3" x14ac:dyDescent="0.25">
      <c r="A1394" t="str">
        <f t="shared" si="36"/>
        <v>39</v>
      </c>
      <c r="B1394" t="str">
        <f>"39.0604"</f>
        <v>39.0604</v>
      </c>
      <c r="C1394" t="s">
        <v>1046</v>
      </c>
    </row>
    <row r="1395" spans="1:3" x14ac:dyDescent="0.25">
      <c r="A1395" t="str">
        <f t="shared" si="36"/>
        <v>39</v>
      </c>
      <c r="B1395" t="str">
        <f>"39.0605"</f>
        <v>39.0605</v>
      </c>
      <c r="C1395" t="s">
        <v>1047</v>
      </c>
    </row>
    <row r="1396" spans="1:3" x14ac:dyDescent="0.25">
      <c r="A1396" t="str">
        <f t="shared" si="36"/>
        <v>39</v>
      </c>
      <c r="B1396" t="str">
        <f>"39.0606"</f>
        <v>39.0606</v>
      </c>
      <c r="C1396" t="s">
        <v>1048</v>
      </c>
    </row>
    <row r="1397" spans="1:3" x14ac:dyDescent="0.25">
      <c r="A1397" t="str">
        <f t="shared" si="36"/>
        <v>39</v>
      </c>
      <c r="B1397" t="str">
        <f>"39.0699"</f>
        <v>39.0699</v>
      </c>
      <c r="C1397" t="s">
        <v>1049</v>
      </c>
    </row>
    <row r="1398" spans="1:3" x14ac:dyDescent="0.25">
      <c r="A1398" t="str">
        <f t="shared" si="36"/>
        <v>39</v>
      </c>
      <c r="B1398" t="str">
        <f>"39.07"</f>
        <v>39.07</v>
      </c>
      <c r="C1398" t="s">
        <v>1050</v>
      </c>
    </row>
    <row r="1399" spans="1:3" x14ac:dyDescent="0.25">
      <c r="A1399" t="str">
        <f t="shared" si="36"/>
        <v>39</v>
      </c>
      <c r="B1399" t="str">
        <f>"39.0701"</f>
        <v>39.0701</v>
      </c>
      <c r="C1399" t="s">
        <v>1051</v>
      </c>
    </row>
    <row r="1400" spans="1:3" x14ac:dyDescent="0.25">
      <c r="A1400" t="str">
        <f t="shared" si="36"/>
        <v>39</v>
      </c>
      <c r="B1400" t="str">
        <f>"39.0702"</f>
        <v>39.0702</v>
      </c>
      <c r="C1400" t="s">
        <v>1052</v>
      </c>
    </row>
    <row r="1401" spans="1:3" x14ac:dyDescent="0.25">
      <c r="A1401" t="str">
        <f t="shared" si="36"/>
        <v>39</v>
      </c>
      <c r="B1401" t="str">
        <f>"39.0703"</f>
        <v>39.0703</v>
      </c>
      <c r="C1401" t="s">
        <v>1053</v>
      </c>
    </row>
    <row r="1402" spans="1:3" x14ac:dyDescent="0.25">
      <c r="A1402" t="str">
        <f t="shared" si="36"/>
        <v>39</v>
      </c>
      <c r="B1402" t="str">
        <f>"39.0704"</f>
        <v>39.0704</v>
      </c>
      <c r="C1402" t="s">
        <v>1054</v>
      </c>
    </row>
    <row r="1403" spans="1:3" x14ac:dyDescent="0.25">
      <c r="A1403" t="str">
        <f t="shared" si="36"/>
        <v>39</v>
      </c>
      <c r="B1403" t="str">
        <f>"39.0705"</f>
        <v>39.0705</v>
      </c>
      <c r="C1403" t="s">
        <v>1055</v>
      </c>
    </row>
    <row r="1404" spans="1:3" x14ac:dyDescent="0.25">
      <c r="A1404" t="str">
        <f t="shared" si="36"/>
        <v>39</v>
      </c>
      <c r="B1404" t="str">
        <f>"39.0706"</f>
        <v>39.0706</v>
      </c>
      <c r="C1404" t="s">
        <v>2044</v>
      </c>
    </row>
    <row r="1405" spans="1:3" x14ac:dyDescent="0.25">
      <c r="A1405" t="str">
        <f t="shared" si="36"/>
        <v>39</v>
      </c>
      <c r="B1405" t="str">
        <f>"39.0799"</f>
        <v>39.0799</v>
      </c>
      <c r="C1405" t="s">
        <v>1056</v>
      </c>
    </row>
    <row r="1406" spans="1:3" x14ac:dyDescent="0.25">
      <c r="A1406" t="str">
        <f t="shared" si="36"/>
        <v>39</v>
      </c>
      <c r="B1406" t="str">
        <f>"39.08"</f>
        <v>39.08</v>
      </c>
      <c r="C1406" t="s">
        <v>2045</v>
      </c>
    </row>
    <row r="1407" spans="1:3" x14ac:dyDescent="0.25">
      <c r="A1407" t="str">
        <f t="shared" si="36"/>
        <v>39</v>
      </c>
      <c r="B1407" t="str">
        <f>"39.0801"</f>
        <v>39.0801</v>
      </c>
      <c r="C1407" t="s">
        <v>2046</v>
      </c>
    </row>
    <row r="1408" spans="1:3" x14ac:dyDescent="0.25">
      <c r="A1408" t="str">
        <f t="shared" si="36"/>
        <v>39</v>
      </c>
      <c r="B1408" t="str">
        <f>"39.0802"</f>
        <v>39.0802</v>
      </c>
      <c r="C1408" t="s">
        <v>2047</v>
      </c>
    </row>
    <row r="1409" spans="1:3" x14ac:dyDescent="0.25">
      <c r="A1409" t="str">
        <f t="shared" si="36"/>
        <v>39</v>
      </c>
      <c r="B1409" t="str">
        <f>"39.0899"</f>
        <v>39.0899</v>
      </c>
      <c r="C1409" t="s">
        <v>2048</v>
      </c>
    </row>
    <row r="1410" spans="1:3" x14ac:dyDescent="0.25">
      <c r="A1410" t="str">
        <f t="shared" si="36"/>
        <v>39</v>
      </c>
      <c r="B1410" t="str">
        <f>"39.99"</f>
        <v>39.99</v>
      </c>
      <c r="C1410" t="s">
        <v>1057</v>
      </c>
    </row>
    <row r="1411" spans="1:3" x14ac:dyDescent="0.25">
      <c r="A1411" t="str">
        <f t="shared" si="36"/>
        <v>39</v>
      </c>
      <c r="B1411" t="str">
        <f>"39.9999"</f>
        <v>39.9999</v>
      </c>
      <c r="C1411" t="s">
        <v>1057</v>
      </c>
    </row>
    <row r="1412" spans="1:3" x14ac:dyDescent="0.25">
      <c r="A1412" t="str">
        <f>"40"</f>
        <v>40</v>
      </c>
      <c r="B1412" t="str">
        <f>"40"</f>
        <v>40</v>
      </c>
      <c r="C1412" t="s">
        <v>1058</v>
      </c>
    </row>
    <row r="1413" spans="1:3" x14ac:dyDescent="0.25">
      <c r="A1413" t="str">
        <f t="shared" ref="A1413:A1466" si="37">"40"</f>
        <v>40</v>
      </c>
      <c r="B1413" t="str">
        <f>"40.01"</f>
        <v>40.01</v>
      </c>
      <c r="C1413" t="s">
        <v>2049</v>
      </c>
    </row>
    <row r="1414" spans="1:3" x14ac:dyDescent="0.25">
      <c r="A1414" t="str">
        <f t="shared" si="37"/>
        <v>40</v>
      </c>
      <c r="B1414" t="str">
        <f>"40.0101"</f>
        <v>40.0101</v>
      </c>
      <c r="C1414" t="s">
        <v>2049</v>
      </c>
    </row>
    <row r="1415" spans="1:3" x14ac:dyDescent="0.25">
      <c r="A1415" t="str">
        <f t="shared" si="37"/>
        <v>40</v>
      </c>
      <c r="B1415" t="str">
        <f>"40.02"</f>
        <v>40.02</v>
      </c>
      <c r="C1415" t="s">
        <v>1059</v>
      </c>
    </row>
    <row r="1416" spans="1:3" x14ac:dyDescent="0.25">
      <c r="A1416" t="str">
        <f t="shared" si="37"/>
        <v>40</v>
      </c>
      <c r="B1416" t="str">
        <f>"40.0201"</f>
        <v>40.0201</v>
      </c>
      <c r="C1416" t="s">
        <v>1060</v>
      </c>
    </row>
    <row r="1417" spans="1:3" x14ac:dyDescent="0.25">
      <c r="A1417" t="str">
        <f t="shared" si="37"/>
        <v>40</v>
      </c>
      <c r="B1417" t="str">
        <f>"40.0202"</f>
        <v>40.0202</v>
      </c>
      <c r="C1417" t="s">
        <v>1061</v>
      </c>
    </row>
    <row r="1418" spans="1:3" x14ac:dyDescent="0.25">
      <c r="A1418" t="str">
        <f t="shared" si="37"/>
        <v>40</v>
      </c>
      <c r="B1418" t="str">
        <f>"40.0203"</f>
        <v>40.0203</v>
      </c>
      <c r="C1418" t="s">
        <v>1062</v>
      </c>
    </row>
    <row r="1419" spans="1:3" x14ac:dyDescent="0.25">
      <c r="A1419" t="str">
        <f t="shared" si="37"/>
        <v>40</v>
      </c>
      <c r="B1419" t="str">
        <f>"40.0299"</f>
        <v>40.0299</v>
      </c>
      <c r="C1419" t="s">
        <v>1063</v>
      </c>
    </row>
    <row r="1420" spans="1:3" x14ac:dyDescent="0.25">
      <c r="A1420" t="str">
        <f t="shared" si="37"/>
        <v>40</v>
      </c>
      <c r="B1420" t="str">
        <f>"40.04"</f>
        <v>40.04</v>
      </c>
      <c r="C1420" t="s">
        <v>1064</v>
      </c>
    </row>
    <row r="1421" spans="1:3" x14ac:dyDescent="0.25">
      <c r="A1421" t="str">
        <f t="shared" si="37"/>
        <v>40</v>
      </c>
      <c r="B1421" t="str">
        <f>"40.0401"</f>
        <v>40.0401</v>
      </c>
      <c r="C1421" t="s">
        <v>1065</v>
      </c>
    </row>
    <row r="1422" spans="1:3" x14ac:dyDescent="0.25">
      <c r="A1422" t="str">
        <f t="shared" si="37"/>
        <v>40</v>
      </c>
      <c r="B1422" t="str">
        <f>"40.0402"</f>
        <v>40.0402</v>
      </c>
      <c r="C1422" t="s">
        <v>1066</v>
      </c>
    </row>
    <row r="1423" spans="1:3" x14ac:dyDescent="0.25">
      <c r="A1423" t="str">
        <f t="shared" si="37"/>
        <v>40</v>
      </c>
      <c r="B1423" t="str">
        <f>"40.0403"</f>
        <v>40.0403</v>
      </c>
      <c r="C1423" t="s">
        <v>1067</v>
      </c>
    </row>
    <row r="1424" spans="1:3" x14ac:dyDescent="0.25">
      <c r="A1424" t="str">
        <f t="shared" si="37"/>
        <v>40</v>
      </c>
      <c r="B1424" t="str">
        <f>"40.0404"</f>
        <v>40.0404</v>
      </c>
      <c r="C1424" t="s">
        <v>1068</v>
      </c>
    </row>
    <row r="1425" spans="1:3" x14ac:dyDescent="0.25">
      <c r="A1425" t="str">
        <f t="shared" si="37"/>
        <v>40</v>
      </c>
      <c r="B1425" t="str">
        <f>"40.0499"</f>
        <v>40.0499</v>
      </c>
      <c r="C1425" t="s">
        <v>1069</v>
      </c>
    </row>
    <row r="1426" spans="1:3" x14ac:dyDescent="0.25">
      <c r="A1426" t="str">
        <f t="shared" si="37"/>
        <v>40</v>
      </c>
      <c r="B1426" t="str">
        <f>"40.05"</f>
        <v>40.05</v>
      </c>
      <c r="C1426" t="s">
        <v>1070</v>
      </c>
    </row>
    <row r="1427" spans="1:3" x14ac:dyDescent="0.25">
      <c r="A1427" t="str">
        <f t="shared" si="37"/>
        <v>40</v>
      </c>
      <c r="B1427" t="str">
        <f>"40.0501"</f>
        <v>40.0501</v>
      </c>
      <c r="C1427" t="s">
        <v>1071</v>
      </c>
    </row>
    <row r="1428" spans="1:3" x14ac:dyDescent="0.25">
      <c r="A1428" t="str">
        <f t="shared" si="37"/>
        <v>40</v>
      </c>
      <c r="B1428" t="str">
        <f>"40.0502"</f>
        <v>40.0502</v>
      </c>
      <c r="C1428" t="s">
        <v>1072</v>
      </c>
    </row>
    <row r="1429" spans="1:3" x14ac:dyDescent="0.25">
      <c r="A1429" t="str">
        <f t="shared" si="37"/>
        <v>40</v>
      </c>
      <c r="B1429" t="str">
        <f>"40.0503"</f>
        <v>40.0503</v>
      </c>
      <c r="C1429" t="s">
        <v>1073</v>
      </c>
    </row>
    <row r="1430" spans="1:3" x14ac:dyDescent="0.25">
      <c r="A1430" t="str">
        <f t="shared" si="37"/>
        <v>40</v>
      </c>
      <c r="B1430" t="str">
        <f>"40.0504"</f>
        <v>40.0504</v>
      </c>
      <c r="C1430" t="s">
        <v>1074</v>
      </c>
    </row>
    <row r="1431" spans="1:3" x14ac:dyDescent="0.25">
      <c r="A1431" t="str">
        <f t="shared" si="37"/>
        <v>40</v>
      </c>
      <c r="B1431" t="str">
        <f>"40.0506"</f>
        <v>40.0506</v>
      </c>
      <c r="C1431" t="s">
        <v>1075</v>
      </c>
    </row>
    <row r="1432" spans="1:3" x14ac:dyDescent="0.25">
      <c r="A1432" t="str">
        <f t="shared" si="37"/>
        <v>40</v>
      </c>
      <c r="B1432" t="str">
        <f>"40.0507"</f>
        <v>40.0507</v>
      </c>
      <c r="C1432" t="s">
        <v>1076</v>
      </c>
    </row>
    <row r="1433" spans="1:3" x14ac:dyDescent="0.25">
      <c r="A1433" t="str">
        <f t="shared" si="37"/>
        <v>40</v>
      </c>
      <c r="B1433" t="str">
        <f>"40.0508"</f>
        <v>40.0508</v>
      </c>
      <c r="C1433" t="s">
        <v>1077</v>
      </c>
    </row>
    <row r="1434" spans="1:3" x14ac:dyDescent="0.25">
      <c r="A1434" t="str">
        <f t="shared" si="37"/>
        <v>40</v>
      </c>
      <c r="B1434" t="str">
        <f>"40.0509"</f>
        <v>40.0509</v>
      </c>
      <c r="C1434" t="s">
        <v>1078</v>
      </c>
    </row>
    <row r="1435" spans="1:3" x14ac:dyDescent="0.25">
      <c r="A1435" t="str">
        <f t="shared" si="37"/>
        <v>40</v>
      </c>
      <c r="B1435" t="str">
        <f>"40.0510"</f>
        <v>40.0510</v>
      </c>
      <c r="C1435" t="s">
        <v>1079</v>
      </c>
    </row>
    <row r="1436" spans="1:3" x14ac:dyDescent="0.25">
      <c r="A1436" t="str">
        <f t="shared" si="37"/>
        <v>40</v>
      </c>
      <c r="B1436" t="str">
        <f>"40.0511"</f>
        <v>40.0511</v>
      </c>
      <c r="C1436" t="s">
        <v>1080</v>
      </c>
    </row>
    <row r="1437" spans="1:3" x14ac:dyDescent="0.25">
      <c r="A1437" t="str">
        <f t="shared" si="37"/>
        <v>40</v>
      </c>
      <c r="B1437" t="str">
        <f>"40.0512"</f>
        <v>40.0512</v>
      </c>
      <c r="C1437" t="s">
        <v>2050</v>
      </c>
    </row>
    <row r="1438" spans="1:3" x14ac:dyDescent="0.25">
      <c r="A1438" t="str">
        <f t="shared" si="37"/>
        <v>40</v>
      </c>
      <c r="B1438" t="str">
        <f>"40.0599"</f>
        <v>40.0599</v>
      </c>
      <c r="C1438" t="s">
        <v>1081</v>
      </c>
    </row>
    <row r="1439" spans="1:3" x14ac:dyDescent="0.25">
      <c r="A1439" t="str">
        <f t="shared" si="37"/>
        <v>40</v>
      </c>
      <c r="B1439" t="str">
        <f>"40.06"</f>
        <v>40.06</v>
      </c>
      <c r="C1439" t="s">
        <v>1082</v>
      </c>
    </row>
    <row r="1440" spans="1:3" x14ac:dyDescent="0.25">
      <c r="A1440" t="str">
        <f t="shared" si="37"/>
        <v>40</v>
      </c>
      <c r="B1440" t="str">
        <f>"40.0601"</f>
        <v>40.0601</v>
      </c>
      <c r="C1440" t="s">
        <v>1083</v>
      </c>
    </row>
    <row r="1441" spans="1:3" x14ac:dyDescent="0.25">
      <c r="A1441" t="str">
        <f t="shared" si="37"/>
        <v>40</v>
      </c>
      <c r="B1441" t="str">
        <f>"40.0602"</f>
        <v>40.0602</v>
      </c>
      <c r="C1441" t="s">
        <v>1084</v>
      </c>
    </row>
    <row r="1442" spans="1:3" x14ac:dyDescent="0.25">
      <c r="A1442" t="str">
        <f t="shared" si="37"/>
        <v>40</v>
      </c>
      <c r="B1442" t="str">
        <f>"40.0603"</f>
        <v>40.0603</v>
      </c>
      <c r="C1442" t="s">
        <v>1085</v>
      </c>
    </row>
    <row r="1443" spans="1:3" x14ac:dyDescent="0.25">
      <c r="A1443" t="str">
        <f t="shared" si="37"/>
        <v>40</v>
      </c>
      <c r="B1443" t="str">
        <f>"40.0604"</f>
        <v>40.0604</v>
      </c>
      <c r="C1443" t="s">
        <v>1086</v>
      </c>
    </row>
    <row r="1444" spans="1:3" x14ac:dyDescent="0.25">
      <c r="A1444" t="str">
        <f t="shared" si="37"/>
        <v>40</v>
      </c>
      <c r="B1444" t="str">
        <f>"40.0605"</f>
        <v>40.0605</v>
      </c>
      <c r="C1444" t="s">
        <v>1087</v>
      </c>
    </row>
    <row r="1445" spans="1:3" x14ac:dyDescent="0.25">
      <c r="A1445" t="str">
        <f t="shared" si="37"/>
        <v>40</v>
      </c>
      <c r="B1445" t="str">
        <f>"40.0606"</f>
        <v>40.0606</v>
      </c>
      <c r="C1445" t="s">
        <v>1088</v>
      </c>
    </row>
    <row r="1446" spans="1:3" x14ac:dyDescent="0.25">
      <c r="A1446" t="str">
        <f t="shared" si="37"/>
        <v>40</v>
      </c>
      <c r="B1446" t="str">
        <f>"40.0607"</f>
        <v>40.0607</v>
      </c>
      <c r="C1446" t="s">
        <v>1089</v>
      </c>
    </row>
    <row r="1447" spans="1:3" x14ac:dyDescent="0.25">
      <c r="A1447" t="str">
        <f t="shared" si="37"/>
        <v>40</v>
      </c>
      <c r="B1447" t="str">
        <f>"40.0699"</f>
        <v>40.0699</v>
      </c>
      <c r="C1447" t="s">
        <v>1090</v>
      </c>
    </row>
    <row r="1448" spans="1:3" x14ac:dyDescent="0.25">
      <c r="A1448" t="str">
        <f t="shared" si="37"/>
        <v>40</v>
      </c>
      <c r="B1448" t="str">
        <f>"40.08"</f>
        <v>40.08</v>
      </c>
      <c r="C1448" t="s">
        <v>1091</v>
      </c>
    </row>
    <row r="1449" spans="1:3" x14ac:dyDescent="0.25">
      <c r="A1449" t="str">
        <f t="shared" si="37"/>
        <v>40</v>
      </c>
      <c r="B1449" t="str">
        <f>"40.0801"</f>
        <v>40.0801</v>
      </c>
      <c r="C1449" t="s">
        <v>1092</v>
      </c>
    </row>
    <row r="1450" spans="1:3" x14ac:dyDescent="0.25">
      <c r="A1450" t="str">
        <f t="shared" si="37"/>
        <v>40</v>
      </c>
      <c r="B1450" t="str">
        <f>"40.0802"</f>
        <v>40.0802</v>
      </c>
      <c r="C1450" t="s">
        <v>1093</v>
      </c>
    </row>
    <row r="1451" spans="1:3" x14ac:dyDescent="0.25">
      <c r="A1451" t="str">
        <f t="shared" si="37"/>
        <v>40</v>
      </c>
      <c r="B1451" t="str">
        <f>"40.0804"</f>
        <v>40.0804</v>
      </c>
      <c r="C1451" t="s">
        <v>1094</v>
      </c>
    </row>
    <row r="1452" spans="1:3" x14ac:dyDescent="0.25">
      <c r="A1452" t="str">
        <f t="shared" si="37"/>
        <v>40</v>
      </c>
      <c r="B1452" t="str">
        <f>"40.0805"</f>
        <v>40.0805</v>
      </c>
      <c r="C1452" t="s">
        <v>1095</v>
      </c>
    </row>
    <row r="1453" spans="1:3" x14ac:dyDescent="0.25">
      <c r="A1453" t="str">
        <f t="shared" si="37"/>
        <v>40</v>
      </c>
      <c r="B1453" t="str">
        <f>"40.0806"</f>
        <v>40.0806</v>
      </c>
      <c r="C1453" t="s">
        <v>1096</v>
      </c>
    </row>
    <row r="1454" spans="1:3" x14ac:dyDescent="0.25">
      <c r="A1454" t="str">
        <f t="shared" si="37"/>
        <v>40</v>
      </c>
      <c r="B1454" t="str">
        <f>"40.0807"</f>
        <v>40.0807</v>
      </c>
      <c r="C1454" t="s">
        <v>1097</v>
      </c>
    </row>
    <row r="1455" spans="1:3" x14ac:dyDescent="0.25">
      <c r="A1455" t="str">
        <f t="shared" si="37"/>
        <v>40</v>
      </c>
      <c r="B1455" t="str">
        <f>"40.0808"</f>
        <v>40.0808</v>
      </c>
      <c r="C1455" t="s">
        <v>1098</v>
      </c>
    </row>
    <row r="1456" spans="1:3" x14ac:dyDescent="0.25">
      <c r="A1456" t="str">
        <f t="shared" si="37"/>
        <v>40</v>
      </c>
      <c r="B1456" t="str">
        <f>"40.0809"</f>
        <v>40.0809</v>
      </c>
      <c r="C1456" t="s">
        <v>1099</v>
      </c>
    </row>
    <row r="1457" spans="1:3" x14ac:dyDescent="0.25">
      <c r="A1457" t="str">
        <f t="shared" si="37"/>
        <v>40</v>
      </c>
      <c r="B1457" t="str">
        <f>"40.0810"</f>
        <v>40.0810</v>
      </c>
      <c r="C1457" t="s">
        <v>1100</v>
      </c>
    </row>
    <row r="1458" spans="1:3" x14ac:dyDescent="0.25">
      <c r="A1458" t="str">
        <f t="shared" si="37"/>
        <v>40</v>
      </c>
      <c r="B1458" t="str">
        <f>"40.0899"</f>
        <v>40.0899</v>
      </c>
      <c r="C1458" t="s">
        <v>1101</v>
      </c>
    </row>
    <row r="1459" spans="1:3" x14ac:dyDescent="0.25">
      <c r="A1459" t="str">
        <f t="shared" si="37"/>
        <v>40</v>
      </c>
      <c r="B1459" t="str">
        <f>"40.10"</f>
        <v>40.10</v>
      </c>
      <c r="C1459" t="s">
        <v>1102</v>
      </c>
    </row>
    <row r="1460" spans="1:3" x14ac:dyDescent="0.25">
      <c r="A1460" t="str">
        <f t="shared" si="37"/>
        <v>40</v>
      </c>
      <c r="B1460" t="str">
        <f>"40.1001"</f>
        <v>40.1001</v>
      </c>
      <c r="C1460" t="s">
        <v>485</v>
      </c>
    </row>
    <row r="1461" spans="1:3" x14ac:dyDescent="0.25">
      <c r="A1461" t="str">
        <f t="shared" si="37"/>
        <v>40</v>
      </c>
      <c r="B1461" t="str">
        <f>"40.1002"</f>
        <v>40.1002</v>
      </c>
      <c r="C1461" t="s">
        <v>1103</v>
      </c>
    </row>
    <row r="1462" spans="1:3" x14ac:dyDescent="0.25">
      <c r="A1462" t="str">
        <f t="shared" si="37"/>
        <v>40</v>
      </c>
      <c r="B1462" t="str">
        <f>"40.1099"</f>
        <v>40.1099</v>
      </c>
      <c r="C1462" t="s">
        <v>1104</v>
      </c>
    </row>
    <row r="1463" spans="1:3" x14ac:dyDescent="0.25">
      <c r="A1463" t="str">
        <f t="shared" si="37"/>
        <v>40</v>
      </c>
      <c r="B1463" t="str">
        <f>"40.11"</f>
        <v>40.11</v>
      </c>
      <c r="C1463" t="s">
        <v>2051</v>
      </c>
    </row>
    <row r="1464" spans="1:3" x14ac:dyDescent="0.25">
      <c r="A1464" t="str">
        <f t="shared" si="37"/>
        <v>40</v>
      </c>
      <c r="B1464" t="str">
        <f>"40.1101"</f>
        <v>40.1101</v>
      </c>
      <c r="C1464" t="s">
        <v>2051</v>
      </c>
    </row>
    <row r="1465" spans="1:3" x14ac:dyDescent="0.25">
      <c r="A1465" t="str">
        <f t="shared" si="37"/>
        <v>40</v>
      </c>
      <c r="B1465" t="str">
        <f>"40.99"</f>
        <v>40.99</v>
      </c>
      <c r="C1465" t="s">
        <v>1105</v>
      </c>
    </row>
    <row r="1466" spans="1:3" x14ac:dyDescent="0.25">
      <c r="A1466" t="str">
        <f t="shared" si="37"/>
        <v>40</v>
      </c>
      <c r="B1466" t="str">
        <f>"40.9999"</f>
        <v>40.9999</v>
      </c>
      <c r="C1466" t="s">
        <v>1105</v>
      </c>
    </row>
    <row r="1467" spans="1:3" x14ac:dyDescent="0.25">
      <c r="A1467" t="str">
        <f>"41"</f>
        <v>41</v>
      </c>
      <c r="B1467" t="str">
        <f>"41"</f>
        <v>41</v>
      </c>
      <c r="C1467" t="s">
        <v>1106</v>
      </c>
    </row>
    <row r="1468" spans="1:3" x14ac:dyDescent="0.25">
      <c r="A1468" t="str">
        <f t="shared" ref="A1468:A1481" si="38">"41"</f>
        <v>41</v>
      </c>
      <c r="B1468" t="str">
        <f>"41.00"</f>
        <v>41.00</v>
      </c>
      <c r="C1468" t="s">
        <v>1107</v>
      </c>
    </row>
    <row r="1469" spans="1:3" x14ac:dyDescent="0.25">
      <c r="A1469" t="str">
        <f t="shared" si="38"/>
        <v>41</v>
      </c>
      <c r="B1469" t="str">
        <f>"41.0000"</f>
        <v>41.0000</v>
      </c>
      <c r="C1469" t="s">
        <v>1107</v>
      </c>
    </row>
    <row r="1470" spans="1:3" x14ac:dyDescent="0.25">
      <c r="A1470" t="str">
        <f t="shared" si="38"/>
        <v>41</v>
      </c>
      <c r="B1470" t="str">
        <f>"41.01"</f>
        <v>41.01</v>
      </c>
      <c r="C1470" t="s">
        <v>2052</v>
      </c>
    </row>
    <row r="1471" spans="1:3" x14ac:dyDescent="0.25">
      <c r="A1471" t="str">
        <f t="shared" si="38"/>
        <v>41</v>
      </c>
      <c r="B1471" t="str">
        <f>"41.0101"</f>
        <v>41.0101</v>
      </c>
      <c r="C1471" t="s">
        <v>2053</v>
      </c>
    </row>
    <row r="1472" spans="1:3" x14ac:dyDescent="0.25">
      <c r="A1472" t="str">
        <f t="shared" si="38"/>
        <v>41</v>
      </c>
      <c r="B1472" t="str">
        <f>"41.02"</f>
        <v>41.02</v>
      </c>
      <c r="C1472" t="s">
        <v>1108</v>
      </c>
    </row>
    <row r="1473" spans="1:3" x14ac:dyDescent="0.25">
      <c r="A1473" t="str">
        <f t="shared" si="38"/>
        <v>41</v>
      </c>
      <c r="B1473" t="str">
        <f>"41.0204"</f>
        <v>41.0204</v>
      </c>
      <c r="C1473" t="s">
        <v>1109</v>
      </c>
    </row>
    <row r="1474" spans="1:3" x14ac:dyDescent="0.25">
      <c r="A1474" t="str">
        <f t="shared" si="38"/>
        <v>41</v>
      </c>
      <c r="B1474" t="str">
        <f>"41.0205"</f>
        <v>41.0205</v>
      </c>
      <c r="C1474" t="s">
        <v>1110</v>
      </c>
    </row>
    <row r="1475" spans="1:3" x14ac:dyDescent="0.25">
      <c r="A1475" t="str">
        <f t="shared" si="38"/>
        <v>41</v>
      </c>
      <c r="B1475" t="str">
        <f>"41.0299"</f>
        <v>41.0299</v>
      </c>
      <c r="C1475" t="s">
        <v>1111</v>
      </c>
    </row>
    <row r="1476" spans="1:3" x14ac:dyDescent="0.25">
      <c r="A1476" t="str">
        <f t="shared" si="38"/>
        <v>41</v>
      </c>
      <c r="B1476" t="str">
        <f>"41.03"</f>
        <v>41.03</v>
      </c>
      <c r="C1476" t="s">
        <v>1112</v>
      </c>
    </row>
    <row r="1477" spans="1:3" x14ac:dyDescent="0.25">
      <c r="A1477" t="str">
        <f t="shared" si="38"/>
        <v>41</v>
      </c>
      <c r="B1477" t="str">
        <f>"41.0301"</f>
        <v>41.0301</v>
      </c>
      <c r="C1477" t="s">
        <v>1113</v>
      </c>
    </row>
    <row r="1478" spans="1:3" x14ac:dyDescent="0.25">
      <c r="A1478" t="str">
        <f t="shared" si="38"/>
        <v>41</v>
      </c>
      <c r="B1478" t="str">
        <f>"41.0303"</f>
        <v>41.0303</v>
      </c>
      <c r="C1478" t="s">
        <v>1114</v>
      </c>
    </row>
    <row r="1479" spans="1:3" x14ac:dyDescent="0.25">
      <c r="A1479" t="str">
        <f t="shared" si="38"/>
        <v>41</v>
      </c>
      <c r="B1479" t="str">
        <f>"41.0399"</f>
        <v>41.0399</v>
      </c>
      <c r="C1479" t="s">
        <v>1115</v>
      </c>
    </row>
    <row r="1480" spans="1:3" x14ac:dyDescent="0.25">
      <c r="A1480" t="str">
        <f t="shared" si="38"/>
        <v>41</v>
      </c>
      <c r="B1480" t="str">
        <f>"41.99"</f>
        <v>41.99</v>
      </c>
      <c r="C1480" t="s">
        <v>1116</v>
      </c>
    </row>
    <row r="1481" spans="1:3" x14ac:dyDescent="0.25">
      <c r="A1481" t="str">
        <f t="shared" si="38"/>
        <v>41</v>
      </c>
      <c r="B1481" t="str">
        <f>"41.9999"</f>
        <v>41.9999</v>
      </c>
      <c r="C1481" t="s">
        <v>1116</v>
      </c>
    </row>
    <row r="1482" spans="1:3" x14ac:dyDescent="0.25">
      <c r="A1482" t="str">
        <f>"42"</f>
        <v>42</v>
      </c>
      <c r="B1482" t="str">
        <f>"42"</f>
        <v>42</v>
      </c>
      <c r="C1482" t="s">
        <v>1117</v>
      </c>
    </row>
    <row r="1483" spans="1:3" x14ac:dyDescent="0.25">
      <c r="A1483" t="str">
        <f t="shared" ref="A1483:A1517" si="39">"42"</f>
        <v>42</v>
      </c>
      <c r="B1483" t="str">
        <f>"42.01"</f>
        <v>42.01</v>
      </c>
      <c r="C1483" t="s">
        <v>1118</v>
      </c>
    </row>
    <row r="1484" spans="1:3" x14ac:dyDescent="0.25">
      <c r="A1484" t="str">
        <f t="shared" si="39"/>
        <v>42</v>
      </c>
      <c r="B1484" t="str">
        <f>"42.0101"</f>
        <v>42.0101</v>
      </c>
      <c r="C1484" t="s">
        <v>1118</v>
      </c>
    </row>
    <row r="1485" spans="1:3" x14ac:dyDescent="0.25">
      <c r="A1485" t="str">
        <f t="shared" si="39"/>
        <v>42</v>
      </c>
      <c r="B1485" t="str">
        <f>"42.27"</f>
        <v>42.27</v>
      </c>
      <c r="C1485" t="s">
        <v>1138</v>
      </c>
    </row>
    <row r="1486" spans="1:3" x14ac:dyDescent="0.25">
      <c r="A1486" t="str">
        <f t="shared" si="39"/>
        <v>42</v>
      </c>
      <c r="B1486" t="str">
        <f>"42.2701"</f>
        <v>42.2701</v>
      </c>
      <c r="C1486" t="s">
        <v>1120</v>
      </c>
    </row>
    <row r="1487" spans="1:3" x14ac:dyDescent="0.25">
      <c r="A1487" t="str">
        <f t="shared" si="39"/>
        <v>42</v>
      </c>
      <c r="B1487" t="str">
        <f>"42.2702"</f>
        <v>42.2702</v>
      </c>
      <c r="C1487" t="s">
        <v>1122</v>
      </c>
    </row>
    <row r="1488" spans="1:3" x14ac:dyDescent="0.25">
      <c r="A1488" t="str">
        <f t="shared" si="39"/>
        <v>42</v>
      </c>
      <c r="B1488" t="str">
        <f>"42.2703"</f>
        <v>42.2703</v>
      </c>
      <c r="C1488" t="s">
        <v>1124</v>
      </c>
    </row>
    <row r="1489" spans="1:3" x14ac:dyDescent="0.25">
      <c r="A1489" t="str">
        <f t="shared" si="39"/>
        <v>42</v>
      </c>
      <c r="B1489" t="str">
        <f>"42.2704"</f>
        <v>42.2704</v>
      </c>
      <c r="C1489" t="s">
        <v>1125</v>
      </c>
    </row>
    <row r="1490" spans="1:3" x14ac:dyDescent="0.25">
      <c r="A1490" t="str">
        <f t="shared" si="39"/>
        <v>42</v>
      </c>
      <c r="B1490" t="str">
        <f>"42.2705"</f>
        <v>42.2705</v>
      </c>
      <c r="C1490" t="s">
        <v>1127</v>
      </c>
    </row>
    <row r="1491" spans="1:3" x14ac:dyDescent="0.25">
      <c r="A1491" t="str">
        <f t="shared" si="39"/>
        <v>42</v>
      </c>
      <c r="B1491" t="str">
        <f>"42.2706"</f>
        <v>42.2706</v>
      </c>
      <c r="C1491" t="s">
        <v>2054</v>
      </c>
    </row>
    <row r="1492" spans="1:3" x14ac:dyDescent="0.25">
      <c r="A1492" t="str">
        <f t="shared" si="39"/>
        <v>42</v>
      </c>
      <c r="B1492" t="str">
        <f>"42.2707"</f>
        <v>42.2707</v>
      </c>
      <c r="C1492" t="s">
        <v>1128</v>
      </c>
    </row>
    <row r="1493" spans="1:3" x14ac:dyDescent="0.25">
      <c r="A1493" t="str">
        <f t="shared" si="39"/>
        <v>42</v>
      </c>
      <c r="B1493" t="str">
        <f>"42.2708"</f>
        <v>42.2708</v>
      </c>
      <c r="C1493" t="s">
        <v>1131</v>
      </c>
    </row>
    <row r="1494" spans="1:3" x14ac:dyDescent="0.25">
      <c r="A1494" t="str">
        <f t="shared" si="39"/>
        <v>42</v>
      </c>
      <c r="B1494" t="str">
        <f>"42.2709"</f>
        <v>42.2709</v>
      </c>
      <c r="C1494" t="s">
        <v>1135</v>
      </c>
    </row>
    <row r="1495" spans="1:3" x14ac:dyDescent="0.25">
      <c r="A1495" t="str">
        <f t="shared" si="39"/>
        <v>42</v>
      </c>
      <c r="B1495" t="str">
        <f>"42.2710"</f>
        <v>42.2710</v>
      </c>
      <c r="C1495" t="s">
        <v>2055</v>
      </c>
    </row>
    <row r="1496" spans="1:3" x14ac:dyDescent="0.25">
      <c r="A1496" t="str">
        <f t="shared" si="39"/>
        <v>42</v>
      </c>
      <c r="B1496" t="str">
        <f>"42.2799"</f>
        <v>42.2799</v>
      </c>
      <c r="C1496" t="s">
        <v>1139</v>
      </c>
    </row>
    <row r="1497" spans="1:3" x14ac:dyDescent="0.25">
      <c r="A1497" t="str">
        <f t="shared" si="39"/>
        <v>42</v>
      </c>
      <c r="B1497" t="str">
        <f>"42.28"</f>
        <v>42.28</v>
      </c>
      <c r="C1497" t="s">
        <v>1140</v>
      </c>
    </row>
    <row r="1498" spans="1:3" x14ac:dyDescent="0.25">
      <c r="A1498" t="str">
        <f t="shared" si="39"/>
        <v>42</v>
      </c>
      <c r="B1498" t="str">
        <f>"42.2801"</f>
        <v>42.2801</v>
      </c>
      <c r="C1498" t="s">
        <v>1119</v>
      </c>
    </row>
    <row r="1499" spans="1:3" x14ac:dyDescent="0.25">
      <c r="A1499" t="str">
        <f t="shared" si="39"/>
        <v>42</v>
      </c>
      <c r="B1499" t="str">
        <f>"42.2802"</f>
        <v>42.2802</v>
      </c>
      <c r="C1499" t="s">
        <v>1121</v>
      </c>
    </row>
    <row r="1500" spans="1:3" x14ac:dyDescent="0.25">
      <c r="A1500" t="str">
        <f t="shared" si="39"/>
        <v>42</v>
      </c>
      <c r="B1500" t="str">
        <f>"42.2803"</f>
        <v>42.2803</v>
      </c>
      <c r="C1500" t="s">
        <v>1123</v>
      </c>
    </row>
    <row r="1501" spans="1:3" x14ac:dyDescent="0.25">
      <c r="A1501" t="str">
        <f t="shared" si="39"/>
        <v>42</v>
      </c>
      <c r="B1501" t="str">
        <f>"42.2804"</f>
        <v>42.2804</v>
      </c>
      <c r="C1501" t="s">
        <v>1126</v>
      </c>
    </row>
    <row r="1502" spans="1:3" x14ac:dyDescent="0.25">
      <c r="A1502" t="str">
        <f t="shared" si="39"/>
        <v>42</v>
      </c>
      <c r="B1502" t="str">
        <f>"42.2805"</f>
        <v>42.2805</v>
      </c>
      <c r="C1502" t="s">
        <v>1129</v>
      </c>
    </row>
    <row r="1503" spans="1:3" x14ac:dyDescent="0.25">
      <c r="A1503" t="str">
        <f t="shared" si="39"/>
        <v>42</v>
      </c>
      <c r="B1503" t="str">
        <f>"42.2806"</f>
        <v>42.2806</v>
      </c>
      <c r="C1503" t="s">
        <v>1130</v>
      </c>
    </row>
    <row r="1504" spans="1:3" x14ac:dyDescent="0.25">
      <c r="A1504" t="str">
        <f t="shared" si="39"/>
        <v>42</v>
      </c>
      <c r="B1504" t="str">
        <f>"42.2807"</f>
        <v>42.2807</v>
      </c>
      <c r="C1504" t="s">
        <v>1132</v>
      </c>
    </row>
    <row r="1505" spans="1:3" x14ac:dyDescent="0.25">
      <c r="A1505" t="str">
        <f t="shared" si="39"/>
        <v>42</v>
      </c>
      <c r="B1505" t="str">
        <f>"42.2808"</f>
        <v>42.2808</v>
      </c>
      <c r="C1505" t="s">
        <v>1133</v>
      </c>
    </row>
    <row r="1506" spans="1:3" x14ac:dyDescent="0.25">
      <c r="A1506" t="str">
        <f t="shared" si="39"/>
        <v>42</v>
      </c>
      <c r="B1506" t="str">
        <f>"42.2809"</f>
        <v>42.2809</v>
      </c>
      <c r="C1506" t="s">
        <v>1134</v>
      </c>
    </row>
    <row r="1507" spans="1:3" x14ac:dyDescent="0.25">
      <c r="A1507" t="str">
        <f t="shared" si="39"/>
        <v>42</v>
      </c>
      <c r="B1507" t="str">
        <f>"42.2810"</f>
        <v>42.2810</v>
      </c>
      <c r="C1507" t="s">
        <v>1141</v>
      </c>
    </row>
    <row r="1508" spans="1:3" x14ac:dyDescent="0.25">
      <c r="A1508" t="str">
        <f t="shared" si="39"/>
        <v>42</v>
      </c>
      <c r="B1508" t="str">
        <f>"42.2811"</f>
        <v>42.2811</v>
      </c>
      <c r="C1508" t="s">
        <v>1136</v>
      </c>
    </row>
    <row r="1509" spans="1:3" x14ac:dyDescent="0.25">
      <c r="A1509" t="str">
        <f t="shared" si="39"/>
        <v>42</v>
      </c>
      <c r="B1509" t="str">
        <f>"42.2812"</f>
        <v>42.2812</v>
      </c>
      <c r="C1509" t="s">
        <v>1137</v>
      </c>
    </row>
    <row r="1510" spans="1:3" x14ac:dyDescent="0.25">
      <c r="A1510" t="str">
        <f t="shared" si="39"/>
        <v>42</v>
      </c>
      <c r="B1510" t="str">
        <f>"42.2813"</f>
        <v>42.2813</v>
      </c>
      <c r="C1510" t="s">
        <v>1142</v>
      </c>
    </row>
    <row r="1511" spans="1:3" x14ac:dyDescent="0.25">
      <c r="A1511" t="str">
        <f t="shared" si="39"/>
        <v>42</v>
      </c>
      <c r="B1511" t="str">
        <f>"42.2814"</f>
        <v>42.2814</v>
      </c>
      <c r="C1511" t="s">
        <v>1143</v>
      </c>
    </row>
    <row r="1512" spans="1:3" x14ac:dyDescent="0.25">
      <c r="A1512" t="str">
        <f t="shared" si="39"/>
        <v>42</v>
      </c>
      <c r="B1512" t="str">
        <f>"42.2815"</f>
        <v>42.2815</v>
      </c>
      <c r="C1512" t="s">
        <v>2056</v>
      </c>
    </row>
    <row r="1513" spans="1:3" x14ac:dyDescent="0.25">
      <c r="A1513" t="str">
        <f t="shared" si="39"/>
        <v>42</v>
      </c>
      <c r="B1513" t="str">
        <f>"42.2816"</f>
        <v>42.2816</v>
      </c>
      <c r="C1513" t="s">
        <v>2057</v>
      </c>
    </row>
    <row r="1514" spans="1:3" x14ac:dyDescent="0.25">
      <c r="A1514" t="str">
        <f t="shared" si="39"/>
        <v>42</v>
      </c>
      <c r="B1514" t="str">
        <f>"42.2817"</f>
        <v>42.2817</v>
      </c>
      <c r="C1514" t="s">
        <v>2058</v>
      </c>
    </row>
    <row r="1515" spans="1:3" x14ac:dyDescent="0.25">
      <c r="A1515" t="str">
        <f t="shared" si="39"/>
        <v>42</v>
      </c>
      <c r="B1515" t="str">
        <f>"42.2899"</f>
        <v>42.2899</v>
      </c>
      <c r="C1515" t="s">
        <v>1144</v>
      </c>
    </row>
    <row r="1516" spans="1:3" x14ac:dyDescent="0.25">
      <c r="A1516" t="str">
        <f t="shared" si="39"/>
        <v>42</v>
      </c>
      <c r="B1516" t="str">
        <f>"42.99"</f>
        <v>42.99</v>
      </c>
      <c r="C1516" t="s">
        <v>1145</v>
      </c>
    </row>
    <row r="1517" spans="1:3" x14ac:dyDescent="0.25">
      <c r="A1517" t="str">
        <f t="shared" si="39"/>
        <v>42</v>
      </c>
      <c r="B1517" t="str">
        <f>"42.9999"</f>
        <v>42.9999</v>
      </c>
      <c r="C1517" t="s">
        <v>1145</v>
      </c>
    </row>
    <row r="1518" spans="1:3" x14ac:dyDescent="0.25">
      <c r="A1518" t="str">
        <f>"43"</f>
        <v>43</v>
      </c>
      <c r="B1518" t="str">
        <f>"43"</f>
        <v>43</v>
      </c>
      <c r="C1518" t="s">
        <v>1146</v>
      </c>
    </row>
    <row r="1519" spans="1:3" x14ac:dyDescent="0.25">
      <c r="A1519" t="str">
        <f t="shared" ref="A1519:A1567" si="40">"43"</f>
        <v>43</v>
      </c>
      <c r="B1519" t="str">
        <f>"43.01"</f>
        <v>43.01</v>
      </c>
      <c r="C1519" t="s">
        <v>1147</v>
      </c>
    </row>
    <row r="1520" spans="1:3" x14ac:dyDescent="0.25">
      <c r="A1520" t="str">
        <f t="shared" si="40"/>
        <v>43</v>
      </c>
      <c r="B1520" t="str">
        <f>"43.0100"</f>
        <v>43.0100</v>
      </c>
      <c r="C1520" t="s">
        <v>2059</v>
      </c>
    </row>
    <row r="1521" spans="1:3" x14ac:dyDescent="0.25">
      <c r="A1521" t="str">
        <f t="shared" si="40"/>
        <v>43</v>
      </c>
      <c r="B1521" t="str">
        <f>"43.0102"</f>
        <v>43.0102</v>
      </c>
      <c r="C1521" t="s">
        <v>1148</v>
      </c>
    </row>
    <row r="1522" spans="1:3" x14ac:dyDescent="0.25">
      <c r="A1522" t="str">
        <f t="shared" si="40"/>
        <v>43</v>
      </c>
      <c r="B1522" t="str">
        <f>"43.0103"</f>
        <v>43.0103</v>
      </c>
      <c r="C1522" t="s">
        <v>1149</v>
      </c>
    </row>
    <row r="1523" spans="1:3" x14ac:dyDescent="0.25">
      <c r="A1523" t="str">
        <f t="shared" si="40"/>
        <v>43</v>
      </c>
      <c r="B1523" t="str">
        <f>"43.0104"</f>
        <v>43.0104</v>
      </c>
      <c r="C1523" t="s">
        <v>1150</v>
      </c>
    </row>
    <row r="1524" spans="1:3" x14ac:dyDescent="0.25">
      <c r="A1524" t="str">
        <f t="shared" si="40"/>
        <v>43</v>
      </c>
      <c r="B1524" t="str">
        <f>"43.0106"</f>
        <v>43.0106</v>
      </c>
      <c r="C1524" t="s">
        <v>1151</v>
      </c>
    </row>
    <row r="1525" spans="1:3" x14ac:dyDescent="0.25">
      <c r="A1525" t="str">
        <f t="shared" si="40"/>
        <v>43</v>
      </c>
      <c r="B1525" t="str">
        <f>"43.0107"</f>
        <v>43.0107</v>
      </c>
      <c r="C1525" t="s">
        <v>1152</v>
      </c>
    </row>
    <row r="1526" spans="1:3" x14ac:dyDescent="0.25">
      <c r="A1526" t="str">
        <f t="shared" si="40"/>
        <v>43</v>
      </c>
      <c r="B1526" t="str">
        <f>"43.0109"</f>
        <v>43.0109</v>
      </c>
      <c r="C1526" t="s">
        <v>1153</v>
      </c>
    </row>
    <row r="1527" spans="1:3" x14ac:dyDescent="0.25">
      <c r="A1527" t="str">
        <f t="shared" si="40"/>
        <v>43</v>
      </c>
      <c r="B1527" t="str">
        <f>"43.0110"</f>
        <v>43.0110</v>
      </c>
      <c r="C1527" t="s">
        <v>1154</v>
      </c>
    </row>
    <row r="1528" spans="1:3" x14ac:dyDescent="0.25">
      <c r="A1528" t="str">
        <f t="shared" si="40"/>
        <v>43</v>
      </c>
      <c r="B1528" t="str">
        <f>"43.0111"</f>
        <v>43.0111</v>
      </c>
      <c r="C1528" t="s">
        <v>1155</v>
      </c>
    </row>
    <row r="1529" spans="1:3" x14ac:dyDescent="0.25">
      <c r="A1529" t="str">
        <f t="shared" si="40"/>
        <v>43</v>
      </c>
      <c r="B1529" t="str">
        <f>"43.0112"</f>
        <v>43.0112</v>
      </c>
      <c r="C1529" t="s">
        <v>1156</v>
      </c>
    </row>
    <row r="1530" spans="1:3" x14ac:dyDescent="0.25">
      <c r="A1530" t="str">
        <f t="shared" si="40"/>
        <v>43</v>
      </c>
      <c r="B1530" t="str">
        <f>"43.0113"</f>
        <v>43.0113</v>
      </c>
      <c r="C1530" t="s">
        <v>1157</v>
      </c>
    </row>
    <row r="1531" spans="1:3" x14ac:dyDescent="0.25">
      <c r="A1531" t="str">
        <f t="shared" si="40"/>
        <v>43</v>
      </c>
      <c r="B1531" t="str">
        <f>"43.0114"</f>
        <v>43.0114</v>
      </c>
      <c r="C1531" t="s">
        <v>1158</v>
      </c>
    </row>
    <row r="1532" spans="1:3" x14ac:dyDescent="0.25">
      <c r="A1532" t="str">
        <f t="shared" si="40"/>
        <v>43</v>
      </c>
      <c r="B1532" t="str">
        <f>"43.0115"</f>
        <v>43.0115</v>
      </c>
      <c r="C1532" t="s">
        <v>1159</v>
      </c>
    </row>
    <row r="1533" spans="1:3" x14ac:dyDescent="0.25">
      <c r="A1533" t="str">
        <f t="shared" si="40"/>
        <v>43</v>
      </c>
      <c r="B1533" t="str">
        <f>"43.0116"</f>
        <v>43.0116</v>
      </c>
      <c r="C1533" t="s">
        <v>1160</v>
      </c>
    </row>
    <row r="1534" spans="1:3" x14ac:dyDescent="0.25">
      <c r="A1534" t="str">
        <f t="shared" si="40"/>
        <v>43</v>
      </c>
      <c r="B1534" t="str">
        <f>"43.0117"</f>
        <v>43.0117</v>
      </c>
      <c r="C1534" t="s">
        <v>1161</v>
      </c>
    </row>
    <row r="1535" spans="1:3" x14ac:dyDescent="0.25">
      <c r="A1535" t="str">
        <f t="shared" si="40"/>
        <v>43</v>
      </c>
      <c r="B1535" t="str">
        <f>"43.0118"</f>
        <v>43.0118</v>
      </c>
      <c r="C1535" t="s">
        <v>1162</v>
      </c>
    </row>
    <row r="1536" spans="1:3" x14ac:dyDescent="0.25">
      <c r="A1536" t="str">
        <f t="shared" si="40"/>
        <v>43</v>
      </c>
      <c r="B1536" t="str">
        <f>"43.0119"</f>
        <v>43.0119</v>
      </c>
      <c r="C1536" t="s">
        <v>1163</v>
      </c>
    </row>
    <row r="1537" spans="1:3" x14ac:dyDescent="0.25">
      <c r="A1537" t="str">
        <f t="shared" si="40"/>
        <v>43</v>
      </c>
      <c r="B1537" t="str">
        <f>"43.0120"</f>
        <v>43.0120</v>
      </c>
      <c r="C1537" t="s">
        <v>1164</v>
      </c>
    </row>
    <row r="1538" spans="1:3" x14ac:dyDescent="0.25">
      <c r="A1538" t="str">
        <f t="shared" si="40"/>
        <v>43</v>
      </c>
      <c r="B1538" t="str">
        <f>"43.0121"</f>
        <v>43.0121</v>
      </c>
      <c r="C1538" t="s">
        <v>1165</v>
      </c>
    </row>
    <row r="1539" spans="1:3" x14ac:dyDescent="0.25">
      <c r="A1539" t="str">
        <f t="shared" si="40"/>
        <v>43</v>
      </c>
      <c r="B1539" t="str">
        <f>"43.0122"</f>
        <v>43.0122</v>
      </c>
      <c r="C1539" t="s">
        <v>1166</v>
      </c>
    </row>
    <row r="1540" spans="1:3" x14ac:dyDescent="0.25">
      <c r="A1540" t="str">
        <f t="shared" si="40"/>
        <v>43</v>
      </c>
      <c r="B1540" t="str">
        <f>"43.0123"</f>
        <v>43.0123</v>
      </c>
      <c r="C1540" t="s">
        <v>1167</v>
      </c>
    </row>
    <row r="1541" spans="1:3" x14ac:dyDescent="0.25">
      <c r="A1541" t="str">
        <f t="shared" si="40"/>
        <v>43</v>
      </c>
      <c r="B1541" t="str">
        <f>"43.0199"</f>
        <v>43.0199</v>
      </c>
      <c r="C1541" t="s">
        <v>1168</v>
      </c>
    </row>
    <row r="1542" spans="1:3" x14ac:dyDescent="0.25">
      <c r="A1542" t="str">
        <f t="shared" si="40"/>
        <v>43</v>
      </c>
      <c r="B1542" t="str">
        <f>"43.02"</f>
        <v>43.02</v>
      </c>
      <c r="C1542" t="s">
        <v>1169</v>
      </c>
    </row>
    <row r="1543" spans="1:3" x14ac:dyDescent="0.25">
      <c r="A1543" t="str">
        <f t="shared" si="40"/>
        <v>43</v>
      </c>
      <c r="B1543" t="str">
        <f>"43.0201"</f>
        <v>43.0201</v>
      </c>
      <c r="C1543" t="s">
        <v>1170</v>
      </c>
    </row>
    <row r="1544" spans="1:3" x14ac:dyDescent="0.25">
      <c r="A1544" t="str">
        <f t="shared" si="40"/>
        <v>43</v>
      </c>
      <c r="B1544" t="str">
        <f>"43.0202"</f>
        <v>43.0202</v>
      </c>
      <c r="C1544" t="s">
        <v>1171</v>
      </c>
    </row>
    <row r="1545" spans="1:3" x14ac:dyDescent="0.25">
      <c r="A1545" t="str">
        <f t="shared" si="40"/>
        <v>43</v>
      </c>
      <c r="B1545" t="str">
        <f>"43.0203"</f>
        <v>43.0203</v>
      </c>
      <c r="C1545" t="s">
        <v>1172</v>
      </c>
    </row>
    <row r="1546" spans="1:3" x14ac:dyDescent="0.25">
      <c r="A1546" t="str">
        <f t="shared" si="40"/>
        <v>43</v>
      </c>
      <c r="B1546" t="str">
        <f>"43.0204"</f>
        <v>43.0204</v>
      </c>
      <c r="C1546" t="s">
        <v>1173</v>
      </c>
    </row>
    <row r="1547" spans="1:3" x14ac:dyDescent="0.25">
      <c r="A1547" t="str">
        <f t="shared" si="40"/>
        <v>43</v>
      </c>
      <c r="B1547" t="str">
        <f>"43.0205"</f>
        <v>43.0205</v>
      </c>
      <c r="C1547" t="s">
        <v>1174</v>
      </c>
    </row>
    <row r="1548" spans="1:3" x14ac:dyDescent="0.25">
      <c r="A1548" t="str">
        <f t="shared" si="40"/>
        <v>43</v>
      </c>
      <c r="B1548" t="str">
        <f>"43.0206"</f>
        <v>43.0206</v>
      </c>
      <c r="C1548" t="s">
        <v>1175</v>
      </c>
    </row>
    <row r="1549" spans="1:3" x14ac:dyDescent="0.25">
      <c r="A1549" t="str">
        <f t="shared" si="40"/>
        <v>43</v>
      </c>
      <c r="B1549" t="str">
        <f>"43.0299"</f>
        <v>43.0299</v>
      </c>
      <c r="C1549" t="s">
        <v>1176</v>
      </c>
    </row>
    <row r="1550" spans="1:3" x14ac:dyDescent="0.25">
      <c r="A1550" t="str">
        <f t="shared" si="40"/>
        <v>43</v>
      </c>
      <c r="B1550" t="str">
        <f>"43.03"</f>
        <v>43.03</v>
      </c>
      <c r="C1550" t="s">
        <v>1177</v>
      </c>
    </row>
    <row r="1551" spans="1:3" x14ac:dyDescent="0.25">
      <c r="A1551" t="str">
        <f t="shared" si="40"/>
        <v>43</v>
      </c>
      <c r="B1551" t="str">
        <f>"43.0301"</f>
        <v>43.0301</v>
      </c>
      <c r="C1551" t="s">
        <v>1177</v>
      </c>
    </row>
    <row r="1552" spans="1:3" x14ac:dyDescent="0.25">
      <c r="A1552" t="str">
        <f t="shared" si="40"/>
        <v>43</v>
      </c>
      <c r="B1552" t="str">
        <f>"43.0302"</f>
        <v>43.0302</v>
      </c>
      <c r="C1552" t="s">
        <v>1178</v>
      </c>
    </row>
    <row r="1553" spans="1:3" x14ac:dyDescent="0.25">
      <c r="A1553" t="str">
        <f t="shared" si="40"/>
        <v>43</v>
      </c>
      <c r="B1553" t="str">
        <f>"43.0303"</f>
        <v>43.0303</v>
      </c>
      <c r="C1553" t="s">
        <v>1179</v>
      </c>
    </row>
    <row r="1554" spans="1:3" x14ac:dyDescent="0.25">
      <c r="A1554" t="str">
        <f t="shared" si="40"/>
        <v>43</v>
      </c>
      <c r="B1554" t="str">
        <f>"43.0304"</f>
        <v>43.0304</v>
      </c>
      <c r="C1554" t="s">
        <v>1180</v>
      </c>
    </row>
    <row r="1555" spans="1:3" x14ac:dyDescent="0.25">
      <c r="A1555" t="str">
        <f t="shared" si="40"/>
        <v>43</v>
      </c>
      <c r="B1555" t="str">
        <f>"43.0399"</f>
        <v>43.0399</v>
      </c>
      <c r="C1555" t="s">
        <v>1181</v>
      </c>
    </row>
    <row r="1556" spans="1:3" x14ac:dyDescent="0.25">
      <c r="A1556" t="str">
        <f t="shared" si="40"/>
        <v>43</v>
      </c>
      <c r="B1556" t="str">
        <f>"43.04"</f>
        <v>43.04</v>
      </c>
      <c r="C1556" t="s">
        <v>2060</v>
      </c>
    </row>
    <row r="1557" spans="1:3" x14ac:dyDescent="0.25">
      <c r="A1557" t="str">
        <f t="shared" si="40"/>
        <v>43</v>
      </c>
      <c r="B1557" t="str">
        <f>"43.0401"</f>
        <v>43.0401</v>
      </c>
      <c r="C1557" t="s">
        <v>2061</v>
      </c>
    </row>
    <row r="1558" spans="1:3" x14ac:dyDescent="0.25">
      <c r="A1558" t="str">
        <f t="shared" si="40"/>
        <v>43</v>
      </c>
      <c r="B1558" t="str">
        <f>"43.0402"</f>
        <v>43.0402</v>
      </c>
      <c r="C1558" t="s">
        <v>1155</v>
      </c>
    </row>
    <row r="1559" spans="1:3" x14ac:dyDescent="0.25">
      <c r="A1559" t="str">
        <f t="shared" si="40"/>
        <v>43</v>
      </c>
      <c r="B1559" t="str">
        <f>"43.0403"</f>
        <v>43.0403</v>
      </c>
      <c r="C1559" t="s">
        <v>1160</v>
      </c>
    </row>
    <row r="1560" spans="1:3" x14ac:dyDescent="0.25">
      <c r="A1560" t="str">
        <f t="shared" si="40"/>
        <v>43</v>
      </c>
      <c r="B1560" t="str">
        <f>"43.0404"</f>
        <v>43.0404</v>
      </c>
      <c r="C1560" t="s">
        <v>2062</v>
      </c>
    </row>
    <row r="1561" spans="1:3" x14ac:dyDescent="0.25">
      <c r="A1561" t="str">
        <f t="shared" si="40"/>
        <v>43</v>
      </c>
      <c r="B1561" t="str">
        <f>"43.0405"</f>
        <v>43.0405</v>
      </c>
      <c r="C1561" t="s">
        <v>1161</v>
      </c>
    </row>
    <row r="1562" spans="1:3" x14ac:dyDescent="0.25">
      <c r="A1562" t="str">
        <f t="shared" si="40"/>
        <v>43</v>
      </c>
      <c r="B1562" t="str">
        <f>"43.0406"</f>
        <v>43.0406</v>
      </c>
      <c r="C1562" t="s">
        <v>1151</v>
      </c>
    </row>
    <row r="1563" spans="1:3" x14ac:dyDescent="0.25">
      <c r="A1563" t="str">
        <f t="shared" si="40"/>
        <v>43</v>
      </c>
      <c r="B1563" t="str">
        <f>"43.0407"</f>
        <v>43.0407</v>
      </c>
      <c r="C1563" t="s">
        <v>2063</v>
      </c>
    </row>
    <row r="1564" spans="1:3" x14ac:dyDescent="0.25">
      <c r="A1564" t="str">
        <f t="shared" si="40"/>
        <v>43</v>
      </c>
      <c r="B1564" t="str">
        <f>"43.0408"</f>
        <v>43.0408</v>
      </c>
      <c r="C1564" t="s">
        <v>1162</v>
      </c>
    </row>
    <row r="1565" spans="1:3" x14ac:dyDescent="0.25">
      <c r="A1565" t="str">
        <f t="shared" si="40"/>
        <v>43</v>
      </c>
      <c r="B1565" t="str">
        <f>"43.0499"</f>
        <v>43.0499</v>
      </c>
      <c r="C1565" t="s">
        <v>2064</v>
      </c>
    </row>
    <row r="1566" spans="1:3" x14ac:dyDescent="0.25">
      <c r="A1566" t="str">
        <f t="shared" si="40"/>
        <v>43</v>
      </c>
      <c r="B1566" t="str">
        <f>"43.99"</f>
        <v>43.99</v>
      </c>
      <c r="C1566" t="s">
        <v>1182</v>
      </c>
    </row>
    <row r="1567" spans="1:3" x14ac:dyDescent="0.25">
      <c r="A1567" t="str">
        <f t="shared" si="40"/>
        <v>43</v>
      </c>
      <c r="B1567" t="str">
        <f>"43.9999"</f>
        <v>43.9999</v>
      </c>
      <c r="C1567" t="s">
        <v>1182</v>
      </c>
    </row>
    <row r="1568" spans="1:3" x14ac:dyDescent="0.25">
      <c r="A1568" t="str">
        <f>"44"</f>
        <v>44</v>
      </c>
      <c r="B1568" t="str">
        <f>"44"</f>
        <v>44</v>
      </c>
      <c r="C1568" t="s">
        <v>1183</v>
      </c>
    </row>
    <row r="1569" spans="1:3" x14ac:dyDescent="0.25">
      <c r="A1569" t="str">
        <f t="shared" ref="A1569:A1591" si="41">"44"</f>
        <v>44</v>
      </c>
      <c r="B1569" t="str">
        <f>"44.00"</f>
        <v>44.00</v>
      </c>
      <c r="C1569" t="s">
        <v>1184</v>
      </c>
    </row>
    <row r="1570" spans="1:3" x14ac:dyDescent="0.25">
      <c r="A1570" t="str">
        <f t="shared" si="41"/>
        <v>44</v>
      </c>
      <c r="B1570" t="str">
        <f>"44.0000"</f>
        <v>44.0000</v>
      </c>
      <c r="C1570" t="s">
        <v>1184</v>
      </c>
    </row>
    <row r="1571" spans="1:3" x14ac:dyDescent="0.25">
      <c r="A1571" t="str">
        <f t="shared" si="41"/>
        <v>44</v>
      </c>
      <c r="B1571" t="str">
        <f>"44.02"</f>
        <v>44.02</v>
      </c>
      <c r="C1571" t="s">
        <v>1185</v>
      </c>
    </row>
    <row r="1572" spans="1:3" x14ac:dyDescent="0.25">
      <c r="A1572" t="str">
        <f t="shared" si="41"/>
        <v>44</v>
      </c>
      <c r="B1572" t="str">
        <f>"44.0201"</f>
        <v>44.0201</v>
      </c>
      <c r="C1572" t="s">
        <v>1185</v>
      </c>
    </row>
    <row r="1573" spans="1:3" x14ac:dyDescent="0.25">
      <c r="A1573" t="str">
        <f t="shared" si="41"/>
        <v>44</v>
      </c>
      <c r="B1573" t="str">
        <f>"44.04"</f>
        <v>44.04</v>
      </c>
      <c r="C1573" t="s">
        <v>1186</v>
      </c>
    </row>
    <row r="1574" spans="1:3" x14ac:dyDescent="0.25">
      <c r="A1574" t="str">
        <f t="shared" si="41"/>
        <v>44</v>
      </c>
      <c r="B1574" t="str">
        <f>"44.0401"</f>
        <v>44.0401</v>
      </c>
      <c r="C1574" t="s">
        <v>1186</v>
      </c>
    </row>
    <row r="1575" spans="1:3" x14ac:dyDescent="0.25">
      <c r="A1575" t="str">
        <f t="shared" si="41"/>
        <v>44</v>
      </c>
      <c r="B1575" t="str">
        <f>"44.0402"</f>
        <v>44.0402</v>
      </c>
      <c r="C1575" t="s">
        <v>2065</v>
      </c>
    </row>
    <row r="1576" spans="1:3" x14ac:dyDescent="0.25">
      <c r="A1576" t="str">
        <f t="shared" si="41"/>
        <v>44</v>
      </c>
      <c r="B1576" t="str">
        <f>"44.0403"</f>
        <v>44.0403</v>
      </c>
      <c r="C1576" t="s">
        <v>2066</v>
      </c>
    </row>
    <row r="1577" spans="1:3" x14ac:dyDescent="0.25">
      <c r="A1577" t="str">
        <f t="shared" si="41"/>
        <v>44</v>
      </c>
      <c r="B1577" t="str">
        <f>"44.0499"</f>
        <v>44.0499</v>
      </c>
      <c r="C1577" t="s">
        <v>2067</v>
      </c>
    </row>
    <row r="1578" spans="1:3" x14ac:dyDescent="0.25">
      <c r="A1578" t="str">
        <f t="shared" si="41"/>
        <v>44</v>
      </c>
      <c r="B1578" t="str">
        <f>"44.05"</f>
        <v>44.05</v>
      </c>
      <c r="C1578" t="s">
        <v>1187</v>
      </c>
    </row>
    <row r="1579" spans="1:3" x14ac:dyDescent="0.25">
      <c r="A1579" t="str">
        <f t="shared" si="41"/>
        <v>44</v>
      </c>
      <c r="B1579" t="str">
        <f>"44.0501"</f>
        <v>44.0501</v>
      </c>
      <c r="C1579" t="s">
        <v>1188</v>
      </c>
    </row>
    <row r="1580" spans="1:3" x14ac:dyDescent="0.25">
      <c r="A1580" t="str">
        <f t="shared" si="41"/>
        <v>44</v>
      </c>
      <c r="B1580" t="str">
        <f>"44.0502"</f>
        <v>44.0502</v>
      </c>
      <c r="C1580" t="s">
        <v>1189</v>
      </c>
    </row>
    <row r="1581" spans="1:3" x14ac:dyDescent="0.25">
      <c r="A1581" t="str">
        <f t="shared" si="41"/>
        <v>44</v>
      </c>
      <c r="B1581" t="str">
        <f>"44.0503"</f>
        <v>44.0503</v>
      </c>
      <c r="C1581" t="s">
        <v>1190</v>
      </c>
    </row>
    <row r="1582" spans="1:3" x14ac:dyDescent="0.25">
      <c r="A1582" t="str">
        <f t="shared" si="41"/>
        <v>44</v>
      </c>
      <c r="B1582" t="str">
        <f>"44.0504"</f>
        <v>44.0504</v>
      </c>
      <c r="C1582" t="s">
        <v>1191</v>
      </c>
    </row>
    <row r="1583" spans="1:3" x14ac:dyDescent="0.25">
      <c r="A1583" t="str">
        <f t="shared" si="41"/>
        <v>44</v>
      </c>
      <c r="B1583" t="str">
        <f>"44.0580"</f>
        <v>44.0580</v>
      </c>
      <c r="C1583" t="s">
        <v>1797</v>
      </c>
    </row>
    <row r="1584" spans="1:3" x14ac:dyDescent="0.25">
      <c r="A1584" t="str">
        <f t="shared" si="41"/>
        <v>44</v>
      </c>
      <c r="B1584" t="str">
        <f>"44.0599"</f>
        <v>44.0599</v>
      </c>
      <c r="C1584" t="s">
        <v>1192</v>
      </c>
    </row>
    <row r="1585" spans="1:3" x14ac:dyDescent="0.25">
      <c r="A1585" t="str">
        <f t="shared" si="41"/>
        <v>44</v>
      </c>
      <c r="B1585" t="str">
        <f>"44.07"</f>
        <v>44.07</v>
      </c>
      <c r="C1585" t="s">
        <v>1193</v>
      </c>
    </row>
    <row r="1586" spans="1:3" x14ac:dyDescent="0.25">
      <c r="A1586" t="str">
        <f t="shared" si="41"/>
        <v>44</v>
      </c>
      <c r="B1586" t="str">
        <f>"44.0701"</f>
        <v>44.0701</v>
      </c>
      <c r="C1586" t="s">
        <v>1193</v>
      </c>
    </row>
    <row r="1587" spans="1:3" x14ac:dyDescent="0.25">
      <c r="A1587" t="str">
        <f t="shared" si="41"/>
        <v>44</v>
      </c>
      <c r="B1587" t="str">
        <f>"44.0702"</f>
        <v>44.0702</v>
      </c>
      <c r="C1587" t="s">
        <v>1194</v>
      </c>
    </row>
    <row r="1588" spans="1:3" x14ac:dyDescent="0.25">
      <c r="A1588" t="str">
        <f t="shared" si="41"/>
        <v>44</v>
      </c>
      <c r="B1588" t="str">
        <f>"44.0703"</f>
        <v>44.0703</v>
      </c>
      <c r="C1588" t="s">
        <v>2068</v>
      </c>
    </row>
    <row r="1589" spans="1:3" x14ac:dyDescent="0.25">
      <c r="A1589" t="str">
        <f t="shared" si="41"/>
        <v>44</v>
      </c>
      <c r="B1589" t="str">
        <f>"44.0799"</f>
        <v>44.0799</v>
      </c>
      <c r="C1589" t="s">
        <v>1195</v>
      </c>
    </row>
    <row r="1590" spans="1:3" x14ac:dyDescent="0.25">
      <c r="A1590" t="str">
        <f t="shared" si="41"/>
        <v>44</v>
      </c>
      <c r="B1590" t="str">
        <f>"44.99"</f>
        <v>44.99</v>
      </c>
      <c r="C1590" t="s">
        <v>1196</v>
      </c>
    </row>
    <row r="1591" spans="1:3" x14ac:dyDescent="0.25">
      <c r="A1591" t="str">
        <f t="shared" si="41"/>
        <v>44</v>
      </c>
      <c r="B1591" t="str">
        <f>"44.9999"</f>
        <v>44.9999</v>
      </c>
      <c r="C1591" t="s">
        <v>1196</v>
      </c>
    </row>
    <row r="1592" spans="1:3" x14ac:dyDescent="0.25">
      <c r="A1592" t="str">
        <f>"45"</f>
        <v>45</v>
      </c>
      <c r="B1592" t="str">
        <f>"45"</f>
        <v>45</v>
      </c>
      <c r="C1592" t="s">
        <v>1197</v>
      </c>
    </row>
    <row r="1593" spans="1:3" x14ac:dyDescent="0.25">
      <c r="A1593" t="str">
        <f t="shared" ref="A1593:A1648" si="42">"45"</f>
        <v>45</v>
      </c>
      <c r="B1593" t="str">
        <f>"45.01"</f>
        <v>45.01</v>
      </c>
      <c r="C1593" t="s">
        <v>1198</v>
      </c>
    </row>
    <row r="1594" spans="1:3" x14ac:dyDescent="0.25">
      <c r="A1594" t="str">
        <f t="shared" si="42"/>
        <v>45</v>
      </c>
      <c r="B1594" t="str">
        <f>"45.0101"</f>
        <v>45.0101</v>
      </c>
      <c r="C1594" t="s">
        <v>1198</v>
      </c>
    </row>
    <row r="1595" spans="1:3" x14ac:dyDescent="0.25">
      <c r="A1595" t="str">
        <f t="shared" si="42"/>
        <v>45</v>
      </c>
      <c r="B1595" t="str">
        <f>"45.0102"</f>
        <v>45.0102</v>
      </c>
      <c r="C1595" t="s">
        <v>1199</v>
      </c>
    </row>
    <row r="1596" spans="1:3" x14ac:dyDescent="0.25">
      <c r="A1596" t="str">
        <f t="shared" si="42"/>
        <v>45</v>
      </c>
      <c r="B1596" t="str">
        <f>"45.0103"</f>
        <v>45.0103</v>
      </c>
      <c r="C1596" t="s">
        <v>2069</v>
      </c>
    </row>
    <row r="1597" spans="1:3" x14ac:dyDescent="0.25">
      <c r="A1597" t="str">
        <f t="shared" si="42"/>
        <v>45</v>
      </c>
      <c r="B1597" t="str">
        <f>"45.0199"</f>
        <v>45.0199</v>
      </c>
      <c r="C1597" t="s">
        <v>1233</v>
      </c>
    </row>
    <row r="1598" spans="1:3" x14ac:dyDescent="0.25">
      <c r="A1598" t="str">
        <f t="shared" si="42"/>
        <v>45</v>
      </c>
      <c r="B1598" t="str">
        <f>"45.02"</f>
        <v>45.02</v>
      </c>
      <c r="C1598" t="s">
        <v>1200</v>
      </c>
    </row>
    <row r="1599" spans="1:3" x14ac:dyDescent="0.25">
      <c r="A1599" t="str">
        <f t="shared" si="42"/>
        <v>45</v>
      </c>
      <c r="B1599" t="str">
        <f>"45.0201"</f>
        <v>45.0201</v>
      </c>
      <c r="C1599" t="s">
        <v>2070</v>
      </c>
    </row>
    <row r="1600" spans="1:3" x14ac:dyDescent="0.25">
      <c r="A1600" t="str">
        <f t="shared" si="42"/>
        <v>45</v>
      </c>
      <c r="B1600" t="str">
        <f>"45.0202"</f>
        <v>45.0202</v>
      </c>
      <c r="C1600" t="s">
        <v>1201</v>
      </c>
    </row>
    <row r="1601" spans="1:3" x14ac:dyDescent="0.25">
      <c r="A1601" t="str">
        <f t="shared" si="42"/>
        <v>45</v>
      </c>
      <c r="B1601" t="str">
        <f>"45.0203"</f>
        <v>45.0203</v>
      </c>
      <c r="C1601" t="s">
        <v>1202</v>
      </c>
    </row>
    <row r="1602" spans="1:3" x14ac:dyDescent="0.25">
      <c r="A1602" t="str">
        <f t="shared" si="42"/>
        <v>45</v>
      </c>
      <c r="B1602" t="str">
        <f>"45.0204"</f>
        <v>45.0204</v>
      </c>
      <c r="C1602" t="s">
        <v>1203</v>
      </c>
    </row>
    <row r="1603" spans="1:3" x14ac:dyDescent="0.25">
      <c r="A1603" t="str">
        <f t="shared" si="42"/>
        <v>45</v>
      </c>
      <c r="B1603" t="str">
        <f>"45.0205"</f>
        <v>45.0205</v>
      </c>
      <c r="C1603" t="s">
        <v>2071</v>
      </c>
    </row>
    <row r="1604" spans="1:3" x14ac:dyDescent="0.25">
      <c r="A1604" t="str">
        <f t="shared" si="42"/>
        <v>45</v>
      </c>
      <c r="B1604" t="str">
        <f>"45.0299"</f>
        <v>45.0299</v>
      </c>
      <c r="C1604" t="s">
        <v>1204</v>
      </c>
    </row>
    <row r="1605" spans="1:3" x14ac:dyDescent="0.25">
      <c r="A1605" t="str">
        <f t="shared" si="42"/>
        <v>45</v>
      </c>
      <c r="B1605" t="str">
        <f>"45.03"</f>
        <v>45.03</v>
      </c>
      <c r="C1605" t="s">
        <v>1205</v>
      </c>
    </row>
    <row r="1606" spans="1:3" x14ac:dyDescent="0.25">
      <c r="A1606" t="str">
        <f t="shared" si="42"/>
        <v>45</v>
      </c>
      <c r="B1606" t="str">
        <f>"45.0301"</f>
        <v>45.0301</v>
      </c>
      <c r="C1606" t="s">
        <v>1205</v>
      </c>
    </row>
    <row r="1607" spans="1:3" x14ac:dyDescent="0.25">
      <c r="A1607" t="str">
        <f t="shared" si="42"/>
        <v>45</v>
      </c>
      <c r="B1607" t="str">
        <f>"45.04"</f>
        <v>45.04</v>
      </c>
      <c r="C1607" t="s">
        <v>1206</v>
      </c>
    </row>
    <row r="1608" spans="1:3" x14ac:dyDescent="0.25">
      <c r="A1608" t="str">
        <f t="shared" si="42"/>
        <v>45</v>
      </c>
      <c r="B1608" t="str">
        <f>"45.0401"</f>
        <v>45.0401</v>
      </c>
      <c r="C1608" t="s">
        <v>1206</v>
      </c>
    </row>
    <row r="1609" spans="1:3" x14ac:dyDescent="0.25">
      <c r="A1609" t="str">
        <f t="shared" si="42"/>
        <v>45</v>
      </c>
      <c r="B1609" t="str">
        <f>"45.05"</f>
        <v>45.05</v>
      </c>
      <c r="C1609" t="s">
        <v>2072</v>
      </c>
    </row>
    <row r="1610" spans="1:3" x14ac:dyDescent="0.25">
      <c r="A1610" t="str">
        <f t="shared" si="42"/>
        <v>45</v>
      </c>
      <c r="B1610" t="str">
        <f>"45.0501"</f>
        <v>45.0501</v>
      </c>
      <c r="C1610" t="s">
        <v>1207</v>
      </c>
    </row>
    <row r="1611" spans="1:3" x14ac:dyDescent="0.25">
      <c r="A1611" t="str">
        <f t="shared" si="42"/>
        <v>45</v>
      </c>
      <c r="B1611" t="str">
        <f>"45.0502"</f>
        <v>45.0502</v>
      </c>
      <c r="C1611" t="s">
        <v>2073</v>
      </c>
    </row>
    <row r="1612" spans="1:3" x14ac:dyDescent="0.25">
      <c r="A1612" t="str">
        <f t="shared" si="42"/>
        <v>45</v>
      </c>
      <c r="B1612" t="str">
        <f>"45.0599"</f>
        <v>45.0599</v>
      </c>
      <c r="C1612" t="s">
        <v>2074</v>
      </c>
    </row>
    <row r="1613" spans="1:3" x14ac:dyDescent="0.25">
      <c r="A1613" t="str">
        <f t="shared" si="42"/>
        <v>45</v>
      </c>
      <c r="B1613" t="str">
        <f>"45.06"</f>
        <v>45.06</v>
      </c>
      <c r="C1613" t="s">
        <v>1208</v>
      </c>
    </row>
    <row r="1614" spans="1:3" x14ac:dyDescent="0.25">
      <c r="A1614" t="str">
        <f t="shared" si="42"/>
        <v>45</v>
      </c>
      <c r="B1614" t="str">
        <f>"45.0601"</f>
        <v>45.0601</v>
      </c>
      <c r="C1614" t="s">
        <v>1209</v>
      </c>
    </row>
    <row r="1615" spans="1:3" x14ac:dyDescent="0.25">
      <c r="A1615" t="str">
        <f t="shared" si="42"/>
        <v>45</v>
      </c>
      <c r="B1615" t="str">
        <f>"45.0602"</f>
        <v>45.0602</v>
      </c>
      <c r="C1615" t="s">
        <v>1210</v>
      </c>
    </row>
    <row r="1616" spans="1:3" x14ac:dyDescent="0.25">
      <c r="A1616" t="str">
        <f t="shared" si="42"/>
        <v>45</v>
      </c>
      <c r="B1616" t="str">
        <f>"45.0603"</f>
        <v>45.0603</v>
      </c>
      <c r="C1616" t="s">
        <v>1211</v>
      </c>
    </row>
    <row r="1617" spans="1:3" x14ac:dyDescent="0.25">
      <c r="A1617" t="str">
        <f t="shared" si="42"/>
        <v>45</v>
      </c>
      <c r="B1617" t="str">
        <f>"45.0604"</f>
        <v>45.0604</v>
      </c>
      <c r="C1617" t="s">
        <v>1212</v>
      </c>
    </row>
    <row r="1618" spans="1:3" x14ac:dyDescent="0.25">
      <c r="A1618" t="str">
        <f t="shared" si="42"/>
        <v>45</v>
      </c>
      <c r="B1618" t="str">
        <f>"45.0605"</f>
        <v>45.0605</v>
      </c>
      <c r="C1618" t="s">
        <v>1213</v>
      </c>
    </row>
    <row r="1619" spans="1:3" x14ac:dyDescent="0.25">
      <c r="A1619" t="str">
        <f t="shared" si="42"/>
        <v>45</v>
      </c>
      <c r="B1619" t="str">
        <f>"45.0699"</f>
        <v>45.0699</v>
      </c>
      <c r="C1619" t="s">
        <v>1214</v>
      </c>
    </row>
    <row r="1620" spans="1:3" x14ac:dyDescent="0.25">
      <c r="A1620" t="str">
        <f t="shared" si="42"/>
        <v>45</v>
      </c>
      <c r="B1620" t="str">
        <f>"45.07"</f>
        <v>45.07</v>
      </c>
      <c r="C1620" t="s">
        <v>1215</v>
      </c>
    </row>
    <row r="1621" spans="1:3" x14ac:dyDescent="0.25">
      <c r="A1621" t="str">
        <f t="shared" si="42"/>
        <v>45</v>
      </c>
      <c r="B1621" t="str">
        <f>"45.0701"</f>
        <v>45.0701</v>
      </c>
      <c r="C1621" t="s">
        <v>1216</v>
      </c>
    </row>
    <row r="1622" spans="1:3" x14ac:dyDescent="0.25">
      <c r="A1622" t="str">
        <f t="shared" si="42"/>
        <v>45</v>
      </c>
      <c r="B1622" t="str">
        <f>"45.0702"</f>
        <v>45.0702</v>
      </c>
      <c r="C1622" t="s">
        <v>1217</v>
      </c>
    </row>
    <row r="1623" spans="1:3" x14ac:dyDescent="0.25">
      <c r="A1623" t="str">
        <f t="shared" si="42"/>
        <v>45</v>
      </c>
      <c r="B1623" t="str">
        <f>"45.0799"</f>
        <v>45.0799</v>
      </c>
      <c r="C1623" t="s">
        <v>1218</v>
      </c>
    </row>
    <row r="1624" spans="1:3" x14ac:dyDescent="0.25">
      <c r="A1624" t="str">
        <f t="shared" si="42"/>
        <v>45</v>
      </c>
      <c r="B1624" t="str">
        <f>"45.09"</f>
        <v>45.09</v>
      </c>
      <c r="C1624" t="s">
        <v>1219</v>
      </c>
    </row>
    <row r="1625" spans="1:3" x14ac:dyDescent="0.25">
      <c r="A1625" t="str">
        <f t="shared" si="42"/>
        <v>45</v>
      </c>
      <c r="B1625" t="str">
        <f>"45.0901"</f>
        <v>45.0901</v>
      </c>
      <c r="C1625" t="s">
        <v>1220</v>
      </c>
    </row>
    <row r="1626" spans="1:3" x14ac:dyDescent="0.25">
      <c r="A1626" t="str">
        <f t="shared" si="42"/>
        <v>45</v>
      </c>
      <c r="B1626" t="str">
        <f>"45.0902"</f>
        <v>45.0902</v>
      </c>
      <c r="C1626" t="s">
        <v>1221</v>
      </c>
    </row>
    <row r="1627" spans="1:3" x14ac:dyDescent="0.25">
      <c r="A1627" t="str">
        <f t="shared" si="42"/>
        <v>45</v>
      </c>
      <c r="B1627" t="str">
        <f>"45.0999"</f>
        <v>45.0999</v>
      </c>
      <c r="C1627" t="s">
        <v>1222</v>
      </c>
    </row>
    <row r="1628" spans="1:3" x14ac:dyDescent="0.25">
      <c r="A1628" t="str">
        <f t="shared" si="42"/>
        <v>45</v>
      </c>
      <c r="B1628" t="str">
        <f>"45.10"</f>
        <v>45.10</v>
      </c>
      <c r="C1628" t="s">
        <v>1223</v>
      </c>
    </row>
    <row r="1629" spans="1:3" x14ac:dyDescent="0.25">
      <c r="A1629" t="str">
        <f t="shared" si="42"/>
        <v>45</v>
      </c>
      <c r="B1629" t="str">
        <f>"45.1001"</f>
        <v>45.1001</v>
      </c>
      <c r="C1629" t="s">
        <v>1224</v>
      </c>
    </row>
    <row r="1630" spans="1:3" x14ac:dyDescent="0.25">
      <c r="A1630" t="str">
        <f t="shared" si="42"/>
        <v>45</v>
      </c>
      <c r="B1630" t="str">
        <f>"45.1002"</f>
        <v>45.1002</v>
      </c>
      <c r="C1630" t="s">
        <v>1225</v>
      </c>
    </row>
    <row r="1631" spans="1:3" x14ac:dyDescent="0.25">
      <c r="A1631" t="str">
        <f t="shared" si="42"/>
        <v>45</v>
      </c>
      <c r="B1631" t="str">
        <f>"45.1003"</f>
        <v>45.1003</v>
      </c>
      <c r="C1631" t="s">
        <v>1226</v>
      </c>
    </row>
    <row r="1632" spans="1:3" x14ac:dyDescent="0.25">
      <c r="A1632" t="str">
        <f t="shared" si="42"/>
        <v>45</v>
      </c>
      <c r="B1632" t="str">
        <f>"45.1004"</f>
        <v>45.1004</v>
      </c>
      <c r="C1632" t="s">
        <v>1227</v>
      </c>
    </row>
    <row r="1633" spans="1:3" x14ac:dyDescent="0.25">
      <c r="A1633" t="str">
        <f t="shared" si="42"/>
        <v>45</v>
      </c>
      <c r="B1633" t="str">
        <f>"45.1099"</f>
        <v>45.1099</v>
      </c>
      <c r="C1633" t="s">
        <v>1228</v>
      </c>
    </row>
    <row r="1634" spans="1:3" x14ac:dyDescent="0.25">
      <c r="A1634" t="str">
        <f t="shared" si="42"/>
        <v>45</v>
      </c>
      <c r="B1634" t="str">
        <f>"45.11"</f>
        <v>45.11</v>
      </c>
      <c r="C1634" t="s">
        <v>1229</v>
      </c>
    </row>
    <row r="1635" spans="1:3" x14ac:dyDescent="0.25">
      <c r="A1635" t="str">
        <f t="shared" si="42"/>
        <v>45</v>
      </c>
      <c r="B1635" t="str">
        <f>"45.1101"</f>
        <v>45.1101</v>
      </c>
      <c r="C1635" t="s">
        <v>2075</v>
      </c>
    </row>
    <row r="1636" spans="1:3" x14ac:dyDescent="0.25">
      <c r="A1636" t="str">
        <f t="shared" si="42"/>
        <v>45</v>
      </c>
      <c r="B1636" t="str">
        <f>"45.1102"</f>
        <v>45.1102</v>
      </c>
      <c r="C1636" t="s">
        <v>2076</v>
      </c>
    </row>
    <row r="1637" spans="1:3" x14ac:dyDescent="0.25">
      <c r="A1637" t="str">
        <f t="shared" si="42"/>
        <v>45</v>
      </c>
      <c r="B1637" t="str">
        <f>"45.1103"</f>
        <v>45.1103</v>
      </c>
      <c r="C1637" t="s">
        <v>1232</v>
      </c>
    </row>
    <row r="1638" spans="1:3" x14ac:dyDescent="0.25">
      <c r="A1638" t="str">
        <f t="shared" si="42"/>
        <v>45</v>
      </c>
      <c r="B1638" t="str">
        <f>"45.1199"</f>
        <v>45.1199</v>
      </c>
      <c r="C1638" t="s">
        <v>2077</v>
      </c>
    </row>
    <row r="1639" spans="1:3" x14ac:dyDescent="0.25">
      <c r="A1639" t="str">
        <f t="shared" si="42"/>
        <v>45</v>
      </c>
      <c r="B1639" t="str">
        <f>"45.12"</f>
        <v>45.12</v>
      </c>
      <c r="C1639" t="s">
        <v>1230</v>
      </c>
    </row>
    <row r="1640" spans="1:3" x14ac:dyDescent="0.25">
      <c r="A1640" t="str">
        <f t="shared" si="42"/>
        <v>45</v>
      </c>
      <c r="B1640" t="str">
        <f>"45.1201"</f>
        <v>45.1201</v>
      </c>
      <c r="C1640" t="s">
        <v>1230</v>
      </c>
    </row>
    <row r="1641" spans="1:3" x14ac:dyDescent="0.25">
      <c r="A1641" t="str">
        <f t="shared" si="42"/>
        <v>45</v>
      </c>
      <c r="B1641" t="str">
        <f>"45.13"</f>
        <v>45.13</v>
      </c>
      <c r="C1641" t="s">
        <v>1231</v>
      </c>
    </row>
    <row r="1642" spans="1:3" x14ac:dyDescent="0.25">
      <c r="A1642" t="str">
        <f t="shared" si="42"/>
        <v>45</v>
      </c>
      <c r="B1642" t="str">
        <f>"45.1301"</f>
        <v>45.1301</v>
      </c>
      <c r="C1642" t="s">
        <v>1231</v>
      </c>
    </row>
    <row r="1643" spans="1:3" x14ac:dyDescent="0.25">
      <c r="A1643" t="str">
        <f t="shared" si="42"/>
        <v>45</v>
      </c>
      <c r="B1643" t="str">
        <f>"45.14"</f>
        <v>45.14</v>
      </c>
      <c r="C1643" t="s">
        <v>1232</v>
      </c>
    </row>
    <row r="1644" spans="1:3" x14ac:dyDescent="0.25">
      <c r="A1644" t="str">
        <f t="shared" si="42"/>
        <v>45</v>
      </c>
      <c r="B1644" t="str">
        <f>"45.1401"</f>
        <v>45.1401</v>
      </c>
      <c r="C1644" t="s">
        <v>1232</v>
      </c>
    </row>
    <row r="1645" spans="1:3" x14ac:dyDescent="0.25">
      <c r="A1645" t="str">
        <f t="shared" si="42"/>
        <v>45</v>
      </c>
      <c r="B1645" t="str">
        <f>"45.15"</f>
        <v>45.15</v>
      </c>
      <c r="C1645" t="s">
        <v>2078</v>
      </c>
    </row>
    <row r="1646" spans="1:3" x14ac:dyDescent="0.25">
      <c r="A1646" t="str">
        <f t="shared" si="42"/>
        <v>45</v>
      </c>
      <c r="B1646" t="str">
        <f>"45.1501"</f>
        <v>45.1501</v>
      </c>
      <c r="C1646" t="s">
        <v>2078</v>
      </c>
    </row>
    <row r="1647" spans="1:3" x14ac:dyDescent="0.25">
      <c r="A1647" t="str">
        <f t="shared" si="42"/>
        <v>45</v>
      </c>
      <c r="B1647" t="str">
        <f>"45.99"</f>
        <v>45.99</v>
      </c>
      <c r="C1647" t="s">
        <v>1233</v>
      </c>
    </row>
    <row r="1648" spans="1:3" x14ac:dyDescent="0.25">
      <c r="A1648" t="str">
        <f t="shared" si="42"/>
        <v>45</v>
      </c>
      <c r="B1648" t="str">
        <f>"45.9999"</f>
        <v>45.9999</v>
      </c>
      <c r="C1648" t="s">
        <v>1233</v>
      </c>
    </row>
    <row r="1649" spans="1:3" x14ac:dyDescent="0.25">
      <c r="A1649" t="str">
        <f>"46"</f>
        <v>46</v>
      </c>
      <c r="B1649" t="str">
        <f>"46"</f>
        <v>46</v>
      </c>
      <c r="C1649" t="s">
        <v>1234</v>
      </c>
    </row>
    <row r="1650" spans="1:3" x14ac:dyDescent="0.25">
      <c r="A1650" t="str">
        <f t="shared" ref="A1650:A1682" si="43">"46"</f>
        <v>46</v>
      </c>
      <c r="B1650" t="str">
        <f>"46.00"</f>
        <v>46.00</v>
      </c>
      <c r="C1650" t="s">
        <v>1235</v>
      </c>
    </row>
    <row r="1651" spans="1:3" x14ac:dyDescent="0.25">
      <c r="A1651" t="str">
        <f t="shared" si="43"/>
        <v>46</v>
      </c>
      <c r="B1651" t="str">
        <f>"46.0000"</f>
        <v>46.0000</v>
      </c>
      <c r="C1651" t="s">
        <v>1235</v>
      </c>
    </row>
    <row r="1652" spans="1:3" x14ac:dyDescent="0.25">
      <c r="A1652" t="str">
        <f t="shared" si="43"/>
        <v>46</v>
      </c>
      <c r="B1652" t="str">
        <f>"46.01"</f>
        <v>46.01</v>
      </c>
      <c r="C1652" t="s">
        <v>1236</v>
      </c>
    </row>
    <row r="1653" spans="1:3" x14ac:dyDescent="0.25">
      <c r="A1653" t="str">
        <f t="shared" si="43"/>
        <v>46</v>
      </c>
      <c r="B1653" t="str">
        <f>"46.0101"</f>
        <v>46.0101</v>
      </c>
      <c r="C1653" t="s">
        <v>1236</v>
      </c>
    </row>
    <row r="1654" spans="1:3" x14ac:dyDescent="0.25">
      <c r="A1654" t="str">
        <f t="shared" si="43"/>
        <v>46</v>
      </c>
      <c r="B1654" t="str">
        <f>"46.02"</f>
        <v>46.02</v>
      </c>
      <c r="C1654" t="s">
        <v>1237</v>
      </c>
    </row>
    <row r="1655" spans="1:3" x14ac:dyDescent="0.25">
      <c r="A1655" t="str">
        <f t="shared" si="43"/>
        <v>46</v>
      </c>
      <c r="B1655" t="str">
        <f>"46.0201"</f>
        <v>46.0201</v>
      </c>
      <c r="C1655" t="s">
        <v>2079</v>
      </c>
    </row>
    <row r="1656" spans="1:3" x14ac:dyDescent="0.25">
      <c r="A1656" t="str">
        <f t="shared" si="43"/>
        <v>46</v>
      </c>
      <c r="B1656" t="str">
        <f>"46.03"</f>
        <v>46.03</v>
      </c>
      <c r="C1656" t="s">
        <v>1238</v>
      </c>
    </row>
    <row r="1657" spans="1:3" x14ac:dyDescent="0.25">
      <c r="A1657" t="str">
        <f t="shared" si="43"/>
        <v>46</v>
      </c>
      <c r="B1657" t="str">
        <f>"46.0301"</f>
        <v>46.0301</v>
      </c>
      <c r="C1657" t="s">
        <v>1239</v>
      </c>
    </row>
    <row r="1658" spans="1:3" x14ac:dyDescent="0.25">
      <c r="A1658" t="str">
        <f t="shared" si="43"/>
        <v>46</v>
      </c>
      <c r="B1658" t="str">
        <f>"46.0302"</f>
        <v>46.0302</v>
      </c>
      <c r="C1658" t="s">
        <v>1240</v>
      </c>
    </row>
    <row r="1659" spans="1:3" x14ac:dyDescent="0.25">
      <c r="A1659" t="str">
        <f t="shared" si="43"/>
        <v>46</v>
      </c>
      <c r="B1659" t="str">
        <f>"46.0303"</f>
        <v>46.0303</v>
      </c>
      <c r="C1659" t="s">
        <v>1241</v>
      </c>
    </row>
    <row r="1660" spans="1:3" x14ac:dyDescent="0.25">
      <c r="A1660" t="str">
        <f t="shared" si="43"/>
        <v>46</v>
      </c>
      <c r="B1660" t="str">
        <f>"46.0399"</f>
        <v>46.0399</v>
      </c>
      <c r="C1660" t="s">
        <v>1242</v>
      </c>
    </row>
    <row r="1661" spans="1:3" x14ac:dyDescent="0.25">
      <c r="A1661" t="str">
        <f t="shared" si="43"/>
        <v>46</v>
      </c>
      <c r="B1661" t="str">
        <f>"46.04"</f>
        <v>46.04</v>
      </c>
      <c r="C1661" t="s">
        <v>1243</v>
      </c>
    </row>
    <row r="1662" spans="1:3" x14ac:dyDescent="0.25">
      <c r="A1662" t="str">
        <f t="shared" si="43"/>
        <v>46</v>
      </c>
      <c r="B1662" t="str">
        <f>"46.0401"</f>
        <v>46.0401</v>
      </c>
      <c r="C1662" t="s">
        <v>1244</v>
      </c>
    </row>
    <row r="1663" spans="1:3" x14ac:dyDescent="0.25">
      <c r="A1663" t="str">
        <f t="shared" si="43"/>
        <v>46</v>
      </c>
      <c r="B1663" t="str">
        <f>"46.0402"</f>
        <v>46.0402</v>
      </c>
      <c r="C1663" t="s">
        <v>1245</v>
      </c>
    </row>
    <row r="1664" spans="1:3" x14ac:dyDescent="0.25">
      <c r="A1664" t="str">
        <f t="shared" si="43"/>
        <v>46</v>
      </c>
      <c r="B1664" t="str">
        <f>"46.0403"</f>
        <v>46.0403</v>
      </c>
      <c r="C1664" t="s">
        <v>1246</v>
      </c>
    </row>
    <row r="1665" spans="1:3" x14ac:dyDescent="0.25">
      <c r="A1665" t="str">
        <f t="shared" si="43"/>
        <v>46</v>
      </c>
      <c r="B1665" t="str">
        <f>"46.0404"</f>
        <v>46.0404</v>
      </c>
      <c r="C1665" t="s">
        <v>1247</v>
      </c>
    </row>
    <row r="1666" spans="1:3" x14ac:dyDescent="0.25">
      <c r="A1666" t="str">
        <f t="shared" si="43"/>
        <v>46</v>
      </c>
      <c r="B1666" t="str">
        <f>"46.0406"</f>
        <v>46.0406</v>
      </c>
      <c r="C1666" t="s">
        <v>1248</v>
      </c>
    </row>
    <row r="1667" spans="1:3" x14ac:dyDescent="0.25">
      <c r="A1667" t="str">
        <f t="shared" si="43"/>
        <v>46</v>
      </c>
      <c r="B1667" t="str">
        <f>"46.0408"</f>
        <v>46.0408</v>
      </c>
      <c r="C1667" t="s">
        <v>1249</v>
      </c>
    </row>
    <row r="1668" spans="1:3" x14ac:dyDescent="0.25">
      <c r="A1668" t="str">
        <f t="shared" si="43"/>
        <v>46</v>
      </c>
      <c r="B1668" t="str">
        <f>"46.0410"</f>
        <v>46.0410</v>
      </c>
      <c r="C1668" t="s">
        <v>1250</v>
      </c>
    </row>
    <row r="1669" spans="1:3" x14ac:dyDescent="0.25">
      <c r="A1669" t="str">
        <f t="shared" si="43"/>
        <v>46</v>
      </c>
      <c r="B1669" t="str">
        <f>"46.0411"</f>
        <v>46.0411</v>
      </c>
      <c r="C1669" t="s">
        <v>1251</v>
      </c>
    </row>
    <row r="1670" spans="1:3" x14ac:dyDescent="0.25">
      <c r="A1670" t="str">
        <f t="shared" si="43"/>
        <v>46</v>
      </c>
      <c r="B1670" t="str">
        <f>"46.0412"</f>
        <v>46.0412</v>
      </c>
      <c r="C1670" t="s">
        <v>1252</v>
      </c>
    </row>
    <row r="1671" spans="1:3" x14ac:dyDescent="0.25">
      <c r="A1671" t="str">
        <f t="shared" si="43"/>
        <v>46</v>
      </c>
      <c r="B1671" t="str">
        <f>"46.0413"</f>
        <v>46.0413</v>
      </c>
      <c r="C1671" t="s">
        <v>1253</v>
      </c>
    </row>
    <row r="1672" spans="1:3" x14ac:dyDescent="0.25">
      <c r="A1672" t="str">
        <f t="shared" si="43"/>
        <v>46</v>
      </c>
      <c r="B1672" t="str">
        <f>"46.0414"</f>
        <v>46.0414</v>
      </c>
      <c r="C1672" t="s">
        <v>1254</v>
      </c>
    </row>
    <row r="1673" spans="1:3" x14ac:dyDescent="0.25">
      <c r="A1673" t="str">
        <f t="shared" si="43"/>
        <v>46</v>
      </c>
      <c r="B1673" t="str">
        <f>"46.0415"</f>
        <v>46.0415</v>
      </c>
      <c r="C1673" t="s">
        <v>2080</v>
      </c>
    </row>
    <row r="1674" spans="1:3" x14ac:dyDescent="0.25">
      <c r="A1674" t="str">
        <f t="shared" si="43"/>
        <v>46</v>
      </c>
      <c r="B1674" t="str">
        <f>"46.0499"</f>
        <v>46.0499</v>
      </c>
      <c r="C1674" t="s">
        <v>1255</v>
      </c>
    </row>
    <row r="1675" spans="1:3" x14ac:dyDescent="0.25">
      <c r="A1675" t="str">
        <f t="shared" si="43"/>
        <v>46</v>
      </c>
      <c r="B1675" t="str">
        <f>"46.05"</f>
        <v>46.05</v>
      </c>
      <c r="C1675" t="s">
        <v>1256</v>
      </c>
    </row>
    <row r="1676" spans="1:3" x14ac:dyDescent="0.25">
      <c r="A1676" t="str">
        <f t="shared" si="43"/>
        <v>46</v>
      </c>
      <c r="B1676" t="str">
        <f>"46.0502"</f>
        <v>46.0502</v>
      </c>
      <c r="C1676" t="s">
        <v>1257</v>
      </c>
    </row>
    <row r="1677" spans="1:3" x14ac:dyDescent="0.25">
      <c r="A1677" t="str">
        <f t="shared" si="43"/>
        <v>46</v>
      </c>
      <c r="B1677" t="str">
        <f>"46.0503"</f>
        <v>46.0503</v>
      </c>
      <c r="C1677" t="s">
        <v>1258</v>
      </c>
    </row>
    <row r="1678" spans="1:3" x14ac:dyDescent="0.25">
      <c r="A1678" t="str">
        <f t="shared" si="43"/>
        <v>46</v>
      </c>
      <c r="B1678" t="str">
        <f>"46.0504"</f>
        <v>46.0504</v>
      </c>
      <c r="C1678" t="s">
        <v>1259</v>
      </c>
    </row>
    <row r="1679" spans="1:3" x14ac:dyDescent="0.25">
      <c r="A1679" t="str">
        <f t="shared" si="43"/>
        <v>46</v>
      </c>
      <c r="B1679" t="str">
        <f>"46.0505"</f>
        <v>46.0505</v>
      </c>
      <c r="C1679" t="s">
        <v>1260</v>
      </c>
    </row>
    <row r="1680" spans="1:3" x14ac:dyDescent="0.25">
      <c r="A1680" t="str">
        <f t="shared" si="43"/>
        <v>46</v>
      </c>
      <c r="B1680" t="str">
        <f>"46.0599"</f>
        <v>46.0599</v>
      </c>
      <c r="C1680" t="s">
        <v>1261</v>
      </c>
    </row>
    <row r="1681" spans="1:3" x14ac:dyDescent="0.25">
      <c r="A1681" t="str">
        <f t="shared" si="43"/>
        <v>46</v>
      </c>
      <c r="B1681" t="str">
        <f>"46.99"</f>
        <v>46.99</v>
      </c>
      <c r="C1681" t="s">
        <v>1262</v>
      </c>
    </row>
    <row r="1682" spans="1:3" x14ac:dyDescent="0.25">
      <c r="A1682" t="str">
        <f t="shared" si="43"/>
        <v>46</v>
      </c>
      <c r="B1682" t="str">
        <f>"46.9999"</f>
        <v>46.9999</v>
      </c>
      <c r="C1682" t="s">
        <v>1262</v>
      </c>
    </row>
    <row r="1683" spans="1:3" x14ac:dyDescent="0.25">
      <c r="A1683" t="str">
        <f>"47"</f>
        <v>47</v>
      </c>
      <c r="B1683" t="str">
        <f>"47"</f>
        <v>47</v>
      </c>
      <c r="C1683" t="s">
        <v>1263</v>
      </c>
    </row>
    <row r="1684" spans="1:3" x14ac:dyDescent="0.25">
      <c r="A1684" t="str">
        <f t="shared" ref="A1684:A1735" si="44">"47"</f>
        <v>47</v>
      </c>
      <c r="B1684" t="str">
        <f>"47.00"</f>
        <v>47.00</v>
      </c>
      <c r="C1684" t="s">
        <v>1264</v>
      </c>
    </row>
    <row r="1685" spans="1:3" x14ac:dyDescent="0.25">
      <c r="A1685" t="str">
        <f t="shared" si="44"/>
        <v>47</v>
      </c>
      <c r="B1685" t="str">
        <f>"47.0000"</f>
        <v>47.0000</v>
      </c>
      <c r="C1685" t="s">
        <v>1264</v>
      </c>
    </row>
    <row r="1686" spans="1:3" x14ac:dyDescent="0.25">
      <c r="A1686" t="str">
        <f t="shared" si="44"/>
        <v>47</v>
      </c>
      <c r="B1686" t="str">
        <f>"47.01"</f>
        <v>47.01</v>
      </c>
      <c r="C1686" t="s">
        <v>2081</v>
      </c>
    </row>
    <row r="1687" spans="1:3" x14ac:dyDescent="0.25">
      <c r="A1687" t="str">
        <f t="shared" si="44"/>
        <v>47</v>
      </c>
      <c r="B1687" t="str">
        <f>"47.0101"</f>
        <v>47.0101</v>
      </c>
      <c r="C1687" t="s">
        <v>2082</v>
      </c>
    </row>
    <row r="1688" spans="1:3" x14ac:dyDescent="0.25">
      <c r="A1688" t="str">
        <f t="shared" si="44"/>
        <v>47</v>
      </c>
      <c r="B1688" t="str">
        <f>"47.0102"</f>
        <v>47.0102</v>
      </c>
      <c r="C1688" t="s">
        <v>1265</v>
      </c>
    </row>
    <row r="1689" spans="1:3" x14ac:dyDescent="0.25">
      <c r="A1689" t="str">
        <f t="shared" si="44"/>
        <v>47</v>
      </c>
      <c r="B1689" t="str">
        <f>"47.0103"</f>
        <v>47.0103</v>
      </c>
      <c r="C1689" t="s">
        <v>2083</v>
      </c>
    </row>
    <row r="1690" spans="1:3" x14ac:dyDescent="0.25">
      <c r="A1690" t="str">
        <f t="shared" si="44"/>
        <v>47</v>
      </c>
      <c r="B1690" t="str">
        <f>"47.0104"</f>
        <v>47.0104</v>
      </c>
      <c r="C1690" t="s">
        <v>1266</v>
      </c>
    </row>
    <row r="1691" spans="1:3" x14ac:dyDescent="0.25">
      <c r="A1691" t="str">
        <f t="shared" si="44"/>
        <v>47</v>
      </c>
      <c r="B1691" t="str">
        <f>"47.0105"</f>
        <v>47.0105</v>
      </c>
      <c r="C1691" t="s">
        <v>1267</v>
      </c>
    </row>
    <row r="1692" spans="1:3" x14ac:dyDescent="0.25">
      <c r="A1692" t="str">
        <f t="shared" si="44"/>
        <v>47</v>
      </c>
      <c r="B1692" t="str">
        <f>"47.0106"</f>
        <v>47.0106</v>
      </c>
      <c r="C1692" t="s">
        <v>1268</v>
      </c>
    </row>
    <row r="1693" spans="1:3" x14ac:dyDescent="0.25">
      <c r="A1693" t="str">
        <f t="shared" si="44"/>
        <v>47</v>
      </c>
      <c r="B1693" t="str">
        <f>"47.0110"</f>
        <v>47.0110</v>
      </c>
      <c r="C1693" t="s">
        <v>1269</v>
      </c>
    </row>
    <row r="1694" spans="1:3" x14ac:dyDescent="0.25">
      <c r="A1694" t="str">
        <f t="shared" si="44"/>
        <v>47</v>
      </c>
      <c r="B1694" t="str">
        <f>"47.0199"</f>
        <v>47.0199</v>
      </c>
      <c r="C1694" t="s">
        <v>2084</v>
      </c>
    </row>
    <row r="1695" spans="1:3" x14ac:dyDescent="0.25">
      <c r="A1695" t="str">
        <f t="shared" si="44"/>
        <v>47</v>
      </c>
      <c r="B1695" t="str">
        <f>"47.02"</f>
        <v>47.02</v>
      </c>
      <c r="C1695" t="s">
        <v>1270</v>
      </c>
    </row>
    <row r="1696" spans="1:3" x14ac:dyDescent="0.25">
      <c r="A1696" t="str">
        <f t="shared" si="44"/>
        <v>47</v>
      </c>
      <c r="B1696" t="str">
        <f>"47.0201"</f>
        <v>47.0201</v>
      </c>
      <c r="C1696" t="s">
        <v>2085</v>
      </c>
    </row>
    <row r="1697" spans="1:3" x14ac:dyDescent="0.25">
      <c r="A1697" t="str">
        <f t="shared" si="44"/>
        <v>47</v>
      </c>
      <c r="B1697" t="str">
        <f>"47.03"</f>
        <v>47.03</v>
      </c>
      <c r="C1697" t="s">
        <v>2086</v>
      </c>
    </row>
    <row r="1698" spans="1:3" x14ac:dyDescent="0.25">
      <c r="A1698" t="str">
        <f t="shared" si="44"/>
        <v>47</v>
      </c>
      <c r="B1698" t="str">
        <f>"47.0302"</f>
        <v>47.0302</v>
      </c>
      <c r="C1698" t="s">
        <v>1271</v>
      </c>
    </row>
    <row r="1699" spans="1:3" x14ac:dyDescent="0.25">
      <c r="A1699" t="str">
        <f t="shared" si="44"/>
        <v>47</v>
      </c>
      <c r="B1699" t="str">
        <f>"47.0303"</f>
        <v>47.0303</v>
      </c>
      <c r="C1699" t="s">
        <v>2087</v>
      </c>
    </row>
    <row r="1700" spans="1:3" x14ac:dyDescent="0.25">
      <c r="A1700" t="str">
        <f t="shared" si="44"/>
        <v>47</v>
      </c>
      <c r="B1700" t="str">
        <f>"47.0399"</f>
        <v>47.0399</v>
      </c>
      <c r="C1700" t="s">
        <v>2088</v>
      </c>
    </row>
    <row r="1701" spans="1:3" x14ac:dyDescent="0.25">
      <c r="A1701" t="str">
        <f t="shared" si="44"/>
        <v>47</v>
      </c>
      <c r="B1701" t="str">
        <f>"47.04"</f>
        <v>47.04</v>
      </c>
      <c r="C1701" t="s">
        <v>2089</v>
      </c>
    </row>
    <row r="1702" spans="1:3" x14ac:dyDescent="0.25">
      <c r="A1702" t="str">
        <f t="shared" si="44"/>
        <v>47</v>
      </c>
      <c r="B1702" t="str">
        <f>"47.0402"</f>
        <v>47.0402</v>
      </c>
      <c r="C1702" t="s">
        <v>1272</v>
      </c>
    </row>
    <row r="1703" spans="1:3" x14ac:dyDescent="0.25">
      <c r="A1703" t="str">
        <f t="shared" si="44"/>
        <v>47</v>
      </c>
      <c r="B1703" t="str">
        <f>"47.0403"</f>
        <v>47.0403</v>
      </c>
      <c r="C1703" t="s">
        <v>1273</v>
      </c>
    </row>
    <row r="1704" spans="1:3" x14ac:dyDescent="0.25">
      <c r="A1704" t="str">
        <f t="shared" si="44"/>
        <v>47</v>
      </c>
      <c r="B1704" t="str">
        <f>"47.0404"</f>
        <v>47.0404</v>
      </c>
      <c r="C1704" t="s">
        <v>1274</v>
      </c>
    </row>
    <row r="1705" spans="1:3" x14ac:dyDescent="0.25">
      <c r="A1705" t="str">
        <f t="shared" si="44"/>
        <v>47</v>
      </c>
      <c r="B1705" t="str">
        <f>"47.0408"</f>
        <v>47.0408</v>
      </c>
      <c r="C1705" t="s">
        <v>1275</v>
      </c>
    </row>
    <row r="1706" spans="1:3" x14ac:dyDescent="0.25">
      <c r="A1706" t="str">
        <f t="shared" si="44"/>
        <v>47</v>
      </c>
      <c r="B1706" t="str">
        <f>"47.0409"</f>
        <v>47.0409</v>
      </c>
      <c r="C1706" t="s">
        <v>1276</v>
      </c>
    </row>
    <row r="1707" spans="1:3" x14ac:dyDescent="0.25">
      <c r="A1707" t="str">
        <f t="shared" si="44"/>
        <v>47</v>
      </c>
      <c r="B1707" t="str">
        <f>"47.0499"</f>
        <v>47.0499</v>
      </c>
      <c r="C1707" t="s">
        <v>2090</v>
      </c>
    </row>
    <row r="1708" spans="1:3" x14ac:dyDescent="0.25">
      <c r="A1708" t="str">
        <f t="shared" si="44"/>
        <v>47</v>
      </c>
      <c r="B1708" t="str">
        <f>"47.06"</f>
        <v>47.06</v>
      </c>
      <c r="C1708" t="s">
        <v>2091</v>
      </c>
    </row>
    <row r="1709" spans="1:3" x14ac:dyDescent="0.25">
      <c r="A1709" t="str">
        <f t="shared" si="44"/>
        <v>47</v>
      </c>
      <c r="B1709" t="str">
        <f>"47.0600"</f>
        <v>47.0600</v>
      </c>
      <c r="C1709" t="s">
        <v>2092</v>
      </c>
    </row>
    <row r="1710" spans="1:3" x14ac:dyDescent="0.25">
      <c r="A1710" t="str">
        <f t="shared" si="44"/>
        <v>47</v>
      </c>
      <c r="B1710" t="str">
        <f>"47.0603"</f>
        <v>47.0603</v>
      </c>
      <c r="C1710" t="s">
        <v>1277</v>
      </c>
    </row>
    <row r="1711" spans="1:3" x14ac:dyDescent="0.25">
      <c r="A1711" t="str">
        <f t="shared" si="44"/>
        <v>47</v>
      </c>
      <c r="B1711" t="str">
        <f>"47.0604"</f>
        <v>47.0604</v>
      </c>
      <c r="C1711" t="s">
        <v>1278</v>
      </c>
    </row>
    <row r="1712" spans="1:3" x14ac:dyDescent="0.25">
      <c r="A1712" t="str">
        <f t="shared" si="44"/>
        <v>47</v>
      </c>
      <c r="B1712" t="str">
        <f>"47.0605"</f>
        <v>47.0605</v>
      </c>
      <c r="C1712" t="s">
        <v>1279</v>
      </c>
    </row>
    <row r="1713" spans="1:3" x14ac:dyDescent="0.25">
      <c r="A1713" t="str">
        <f t="shared" si="44"/>
        <v>47</v>
      </c>
      <c r="B1713" t="str">
        <f>"47.0606"</f>
        <v>47.0606</v>
      </c>
      <c r="C1713" t="s">
        <v>1280</v>
      </c>
    </row>
    <row r="1714" spans="1:3" x14ac:dyDescent="0.25">
      <c r="A1714" t="str">
        <f t="shared" si="44"/>
        <v>47</v>
      </c>
      <c r="B1714" t="str">
        <f>"47.0607"</f>
        <v>47.0607</v>
      </c>
      <c r="C1714" t="s">
        <v>1281</v>
      </c>
    </row>
    <row r="1715" spans="1:3" x14ac:dyDescent="0.25">
      <c r="A1715" t="str">
        <f t="shared" si="44"/>
        <v>47</v>
      </c>
      <c r="B1715" t="str">
        <f>"47.0608"</f>
        <v>47.0608</v>
      </c>
      <c r="C1715" t="s">
        <v>1282</v>
      </c>
    </row>
    <row r="1716" spans="1:3" x14ac:dyDescent="0.25">
      <c r="A1716" t="str">
        <f t="shared" si="44"/>
        <v>47</v>
      </c>
      <c r="B1716" t="str">
        <f>"47.0609"</f>
        <v>47.0609</v>
      </c>
      <c r="C1716" t="s">
        <v>1283</v>
      </c>
    </row>
    <row r="1717" spans="1:3" x14ac:dyDescent="0.25">
      <c r="A1717" t="str">
        <f t="shared" si="44"/>
        <v>47</v>
      </c>
      <c r="B1717" t="str">
        <f>"47.0610"</f>
        <v>47.0610</v>
      </c>
      <c r="C1717" t="s">
        <v>1284</v>
      </c>
    </row>
    <row r="1718" spans="1:3" x14ac:dyDescent="0.25">
      <c r="A1718" t="str">
        <f t="shared" si="44"/>
        <v>47</v>
      </c>
      <c r="B1718" t="str">
        <f>"47.0611"</f>
        <v>47.0611</v>
      </c>
      <c r="C1718" t="s">
        <v>1285</v>
      </c>
    </row>
    <row r="1719" spans="1:3" x14ac:dyDescent="0.25">
      <c r="A1719" t="str">
        <f t="shared" si="44"/>
        <v>47</v>
      </c>
      <c r="B1719" t="str">
        <f>"47.0612"</f>
        <v>47.0612</v>
      </c>
      <c r="C1719" t="s">
        <v>1286</v>
      </c>
    </row>
    <row r="1720" spans="1:3" x14ac:dyDescent="0.25">
      <c r="A1720" t="str">
        <f t="shared" si="44"/>
        <v>47</v>
      </c>
      <c r="B1720" t="str">
        <f>"47.0613"</f>
        <v>47.0613</v>
      </c>
      <c r="C1720" t="s">
        <v>1287</v>
      </c>
    </row>
    <row r="1721" spans="1:3" x14ac:dyDescent="0.25">
      <c r="A1721" t="str">
        <f t="shared" si="44"/>
        <v>47</v>
      </c>
      <c r="B1721" t="str">
        <f>"47.0614"</f>
        <v>47.0614</v>
      </c>
      <c r="C1721" t="s">
        <v>1288</v>
      </c>
    </row>
    <row r="1722" spans="1:3" x14ac:dyDescent="0.25">
      <c r="A1722" t="str">
        <f t="shared" si="44"/>
        <v>47</v>
      </c>
      <c r="B1722" t="str">
        <f>"47.0615"</f>
        <v>47.0615</v>
      </c>
      <c r="C1722" t="s">
        <v>1289</v>
      </c>
    </row>
    <row r="1723" spans="1:3" x14ac:dyDescent="0.25">
      <c r="A1723" t="str">
        <f t="shared" si="44"/>
        <v>47</v>
      </c>
      <c r="B1723" t="str">
        <f>"47.0616"</f>
        <v>47.0616</v>
      </c>
      <c r="C1723" t="s">
        <v>1290</v>
      </c>
    </row>
    <row r="1724" spans="1:3" x14ac:dyDescent="0.25">
      <c r="A1724" t="str">
        <f t="shared" si="44"/>
        <v>47</v>
      </c>
      <c r="B1724" t="str">
        <f>"47.0617"</f>
        <v>47.0617</v>
      </c>
      <c r="C1724" t="s">
        <v>1291</v>
      </c>
    </row>
    <row r="1725" spans="1:3" x14ac:dyDescent="0.25">
      <c r="A1725" t="str">
        <f t="shared" si="44"/>
        <v>47</v>
      </c>
      <c r="B1725" t="str">
        <f>"47.0618"</f>
        <v>47.0618</v>
      </c>
      <c r="C1725" t="s">
        <v>1292</v>
      </c>
    </row>
    <row r="1726" spans="1:3" x14ac:dyDescent="0.25">
      <c r="A1726" t="str">
        <f t="shared" si="44"/>
        <v>47</v>
      </c>
      <c r="B1726" t="str">
        <f>"47.0699"</f>
        <v>47.0699</v>
      </c>
      <c r="C1726" t="s">
        <v>2093</v>
      </c>
    </row>
    <row r="1727" spans="1:3" x14ac:dyDescent="0.25">
      <c r="A1727" t="str">
        <f t="shared" si="44"/>
        <v>47</v>
      </c>
      <c r="B1727" t="str">
        <f>"47.07"</f>
        <v>47.07</v>
      </c>
      <c r="C1727" t="s">
        <v>2094</v>
      </c>
    </row>
    <row r="1728" spans="1:3" x14ac:dyDescent="0.25">
      <c r="A1728" t="str">
        <f t="shared" si="44"/>
        <v>47</v>
      </c>
      <c r="B1728" t="str">
        <f>"47.0701"</f>
        <v>47.0701</v>
      </c>
      <c r="C1728" t="s">
        <v>2095</v>
      </c>
    </row>
    <row r="1729" spans="1:3" x14ac:dyDescent="0.25">
      <c r="A1729" t="str">
        <f t="shared" si="44"/>
        <v>47</v>
      </c>
      <c r="B1729" t="str">
        <f>"47.0703"</f>
        <v>47.0703</v>
      </c>
      <c r="C1729" t="s">
        <v>2096</v>
      </c>
    </row>
    <row r="1730" spans="1:3" x14ac:dyDescent="0.25">
      <c r="A1730" t="str">
        <f t="shared" si="44"/>
        <v>47</v>
      </c>
      <c r="B1730" t="str">
        <f>"47.0704"</f>
        <v>47.0704</v>
      </c>
      <c r="C1730" t="s">
        <v>2097</v>
      </c>
    </row>
    <row r="1731" spans="1:3" x14ac:dyDescent="0.25">
      <c r="A1731" t="str">
        <f t="shared" si="44"/>
        <v>47</v>
      </c>
      <c r="B1731" t="str">
        <f>"47.0705"</f>
        <v>47.0705</v>
      </c>
      <c r="C1731" t="s">
        <v>2098</v>
      </c>
    </row>
    <row r="1732" spans="1:3" x14ac:dyDescent="0.25">
      <c r="A1732" t="str">
        <f t="shared" si="44"/>
        <v>47</v>
      </c>
      <c r="B1732" t="str">
        <f>"47.0706"</f>
        <v>47.0706</v>
      </c>
      <c r="C1732" t="s">
        <v>2099</v>
      </c>
    </row>
    <row r="1733" spans="1:3" x14ac:dyDescent="0.25">
      <c r="A1733" t="str">
        <f t="shared" si="44"/>
        <v>47</v>
      </c>
      <c r="B1733" t="str">
        <f>"47.0799"</f>
        <v>47.0799</v>
      </c>
      <c r="C1733" t="s">
        <v>2100</v>
      </c>
    </row>
    <row r="1734" spans="1:3" x14ac:dyDescent="0.25">
      <c r="A1734" t="str">
        <f t="shared" si="44"/>
        <v>47</v>
      </c>
      <c r="B1734" t="str">
        <f>"47.99"</f>
        <v>47.99</v>
      </c>
      <c r="C1734" t="s">
        <v>1293</v>
      </c>
    </row>
    <row r="1735" spans="1:3" x14ac:dyDescent="0.25">
      <c r="A1735" t="str">
        <f t="shared" si="44"/>
        <v>47</v>
      </c>
      <c r="B1735" t="str">
        <f>"47.9999"</f>
        <v>47.9999</v>
      </c>
      <c r="C1735" t="s">
        <v>1293</v>
      </c>
    </row>
    <row r="1736" spans="1:3" x14ac:dyDescent="0.25">
      <c r="A1736" t="str">
        <f>"48"</f>
        <v>48</v>
      </c>
      <c r="B1736" t="str">
        <f>"48"</f>
        <v>48</v>
      </c>
      <c r="C1736" t="s">
        <v>1294</v>
      </c>
    </row>
    <row r="1737" spans="1:3" x14ac:dyDescent="0.25">
      <c r="A1737" t="str">
        <f t="shared" ref="A1737:A1762" si="45">"48"</f>
        <v>48</v>
      </c>
      <c r="B1737" t="str">
        <f>"48.00"</f>
        <v>48.00</v>
      </c>
      <c r="C1737" t="s">
        <v>1295</v>
      </c>
    </row>
    <row r="1738" spans="1:3" x14ac:dyDescent="0.25">
      <c r="A1738" t="str">
        <f t="shared" si="45"/>
        <v>48</v>
      </c>
      <c r="B1738" t="str">
        <f>"48.0000"</f>
        <v>48.0000</v>
      </c>
      <c r="C1738" t="s">
        <v>1295</v>
      </c>
    </row>
    <row r="1739" spans="1:3" x14ac:dyDescent="0.25">
      <c r="A1739" t="str">
        <f t="shared" si="45"/>
        <v>48</v>
      </c>
      <c r="B1739" t="str">
        <f>"48.03"</f>
        <v>48.03</v>
      </c>
      <c r="C1739" t="s">
        <v>1296</v>
      </c>
    </row>
    <row r="1740" spans="1:3" x14ac:dyDescent="0.25">
      <c r="A1740" t="str">
        <f t="shared" si="45"/>
        <v>48</v>
      </c>
      <c r="B1740" t="str">
        <f>"48.0303"</f>
        <v>48.0303</v>
      </c>
      <c r="C1740" t="s">
        <v>1297</v>
      </c>
    </row>
    <row r="1741" spans="1:3" x14ac:dyDescent="0.25">
      <c r="A1741" t="str">
        <f t="shared" si="45"/>
        <v>48</v>
      </c>
      <c r="B1741" t="str">
        <f>"48.0304"</f>
        <v>48.0304</v>
      </c>
      <c r="C1741" t="s">
        <v>1298</v>
      </c>
    </row>
    <row r="1742" spans="1:3" x14ac:dyDescent="0.25">
      <c r="A1742" t="str">
        <f t="shared" si="45"/>
        <v>48</v>
      </c>
      <c r="B1742" t="str">
        <f>"48.0399"</f>
        <v>48.0399</v>
      </c>
      <c r="C1742" t="s">
        <v>1299</v>
      </c>
    </row>
    <row r="1743" spans="1:3" x14ac:dyDescent="0.25">
      <c r="A1743" t="str">
        <f t="shared" si="45"/>
        <v>48</v>
      </c>
      <c r="B1743" t="str">
        <f>"48.05"</f>
        <v>48.05</v>
      </c>
      <c r="C1743" t="s">
        <v>1300</v>
      </c>
    </row>
    <row r="1744" spans="1:3" x14ac:dyDescent="0.25">
      <c r="A1744" t="str">
        <f t="shared" si="45"/>
        <v>48</v>
      </c>
      <c r="B1744" t="str">
        <f>"48.0501"</f>
        <v>48.0501</v>
      </c>
      <c r="C1744" t="s">
        <v>1301</v>
      </c>
    </row>
    <row r="1745" spans="1:3" x14ac:dyDescent="0.25">
      <c r="A1745" t="str">
        <f t="shared" si="45"/>
        <v>48</v>
      </c>
      <c r="B1745" t="str">
        <f>"48.0503"</f>
        <v>48.0503</v>
      </c>
      <c r="C1745" t="s">
        <v>1302</v>
      </c>
    </row>
    <row r="1746" spans="1:3" x14ac:dyDescent="0.25">
      <c r="A1746" t="str">
        <f t="shared" si="45"/>
        <v>48</v>
      </c>
      <c r="B1746" t="str">
        <f>"48.0506"</f>
        <v>48.0506</v>
      </c>
      <c r="C1746" t="s">
        <v>1303</v>
      </c>
    </row>
    <row r="1747" spans="1:3" x14ac:dyDescent="0.25">
      <c r="A1747" t="str">
        <f t="shared" si="45"/>
        <v>48</v>
      </c>
      <c r="B1747" t="str">
        <f>"48.0507"</f>
        <v>48.0507</v>
      </c>
      <c r="C1747" t="s">
        <v>1304</v>
      </c>
    </row>
    <row r="1748" spans="1:3" x14ac:dyDescent="0.25">
      <c r="A1748" t="str">
        <f t="shared" si="45"/>
        <v>48</v>
      </c>
      <c r="B1748" t="str">
        <f>"48.0508"</f>
        <v>48.0508</v>
      </c>
      <c r="C1748" t="s">
        <v>1305</v>
      </c>
    </row>
    <row r="1749" spans="1:3" x14ac:dyDescent="0.25">
      <c r="A1749" t="str">
        <f t="shared" si="45"/>
        <v>48</v>
      </c>
      <c r="B1749" t="str">
        <f>"48.0509"</f>
        <v>48.0509</v>
      </c>
      <c r="C1749" t="s">
        <v>1306</v>
      </c>
    </row>
    <row r="1750" spans="1:3" x14ac:dyDescent="0.25">
      <c r="A1750" t="str">
        <f t="shared" si="45"/>
        <v>48</v>
      </c>
      <c r="B1750" t="str">
        <f>"48.0510"</f>
        <v>48.0510</v>
      </c>
      <c r="C1750" t="s">
        <v>1307</v>
      </c>
    </row>
    <row r="1751" spans="1:3" x14ac:dyDescent="0.25">
      <c r="A1751" t="str">
        <f t="shared" si="45"/>
        <v>48</v>
      </c>
      <c r="B1751" t="str">
        <f>"48.0511"</f>
        <v>48.0511</v>
      </c>
      <c r="C1751" t="s">
        <v>1308</v>
      </c>
    </row>
    <row r="1752" spans="1:3" x14ac:dyDescent="0.25">
      <c r="A1752" t="str">
        <f t="shared" si="45"/>
        <v>48</v>
      </c>
      <c r="B1752" t="str">
        <f>"48.0599"</f>
        <v>48.0599</v>
      </c>
      <c r="C1752" t="s">
        <v>1309</v>
      </c>
    </row>
    <row r="1753" spans="1:3" x14ac:dyDescent="0.25">
      <c r="A1753" t="str">
        <f t="shared" si="45"/>
        <v>48</v>
      </c>
      <c r="B1753" t="str">
        <f>"48.07"</f>
        <v>48.07</v>
      </c>
      <c r="C1753" t="s">
        <v>1310</v>
      </c>
    </row>
    <row r="1754" spans="1:3" x14ac:dyDescent="0.25">
      <c r="A1754" t="str">
        <f t="shared" si="45"/>
        <v>48</v>
      </c>
      <c r="B1754" t="str">
        <f>"48.0701"</f>
        <v>48.0701</v>
      </c>
      <c r="C1754" t="s">
        <v>1311</v>
      </c>
    </row>
    <row r="1755" spans="1:3" x14ac:dyDescent="0.25">
      <c r="A1755" t="str">
        <f t="shared" si="45"/>
        <v>48</v>
      </c>
      <c r="B1755" t="str">
        <f>"48.0702"</f>
        <v>48.0702</v>
      </c>
      <c r="C1755" t="s">
        <v>1312</v>
      </c>
    </row>
    <row r="1756" spans="1:3" x14ac:dyDescent="0.25">
      <c r="A1756" t="str">
        <f t="shared" si="45"/>
        <v>48</v>
      </c>
      <c r="B1756" t="str">
        <f>"48.0703"</f>
        <v>48.0703</v>
      </c>
      <c r="C1756" t="s">
        <v>1313</v>
      </c>
    </row>
    <row r="1757" spans="1:3" x14ac:dyDescent="0.25">
      <c r="A1757" t="str">
        <f t="shared" si="45"/>
        <v>48</v>
      </c>
      <c r="B1757" t="str">
        <f>"48.0704"</f>
        <v>48.0704</v>
      </c>
      <c r="C1757" t="s">
        <v>2101</v>
      </c>
    </row>
    <row r="1758" spans="1:3" x14ac:dyDescent="0.25">
      <c r="A1758" t="str">
        <f t="shared" si="45"/>
        <v>48</v>
      </c>
      <c r="B1758" t="str">
        <f>"48.0799"</f>
        <v>48.0799</v>
      </c>
      <c r="C1758" t="s">
        <v>1314</v>
      </c>
    </row>
    <row r="1759" spans="1:3" x14ac:dyDescent="0.25">
      <c r="A1759" t="str">
        <f t="shared" si="45"/>
        <v>48</v>
      </c>
      <c r="B1759" t="str">
        <f>"48.08"</f>
        <v>48.08</v>
      </c>
      <c r="C1759" t="s">
        <v>1315</v>
      </c>
    </row>
    <row r="1760" spans="1:3" x14ac:dyDescent="0.25">
      <c r="A1760" t="str">
        <f t="shared" si="45"/>
        <v>48</v>
      </c>
      <c r="B1760" t="str">
        <f>"48.0801"</f>
        <v>48.0801</v>
      </c>
      <c r="C1760" t="s">
        <v>1315</v>
      </c>
    </row>
    <row r="1761" spans="1:3" x14ac:dyDescent="0.25">
      <c r="A1761" t="str">
        <f t="shared" si="45"/>
        <v>48</v>
      </c>
      <c r="B1761" t="str">
        <f>"48.99"</f>
        <v>48.99</v>
      </c>
      <c r="C1761" t="s">
        <v>1316</v>
      </c>
    </row>
    <row r="1762" spans="1:3" x14ac:dyDescent="0.25">
      <c r="A1762" t="str">
        <f t="shared" si="45"/>
        <v>48</v>
      </c>
      <c r="B1762" t="str">
        <f>"48.9999"</f>
        <v>48.9999</v>
      </c>
      <c r="C1762" t="s">
        <v>1316</v>
      </c>
    </row>
    <row r="1763" spans="1:3" x14ac:dyDescent="0.25">
      <c r="A1763" t="str">
        <f>"49"</f>
        <v>49</v>
      </c>
      <c r="B1763" t="str">
        <f>"49"</f>
        <v>49</v>
      </c>
      <c r="C1763" t="s">
        <v>1317</v>
      </c>
    </row>
    <row r="1764" spans="1:3" x14ac:dyDescent="0.25">
      <c r="A1764" t="str">
        <f t="shared" ref="A1764:A1787" si="46">"49"</f>
        <v>49</v>
      </c>
      <c r="B1764" t="str">
        <f>"49.01"</f>
        <v>49.01</v>
      </c>
      <c r="C1764" t="s">
        <v>1318</v>
      </c>
    </row>
    <row r="1765" spans="1:3" x14ac:dyDescent="0.25">
      <c r="A1765" t="str">
        <f t="shared" si="46"/>
        <v>49</v>
      </c>
      <c r="B1765" t="str">
        <f>"49.0101"</f>
        <v>49.0101</v>
      </c>
      <c r="C1765" t="s">
        <v>1319</v>
      </c>
    </row>
    <row r="1766" spans="1:3" x14ac:dyDescent="0.25">
      <c r="A1766" t="str">
        <f t="shared" si="46"/>
        <v>49</v>
      </c>
      <c r="B1766" t="str">
        <f>"49.0102"</f>
        <v>49.0102</v>
      </c>
      <c r="C1766" t="s">
        <v>1320</v>
      </c>
    </row>
    <row r="1767" spans="1:3" x14ac:dyDescent="0.25">
      <c r="A1767" t="str">
        <f t="shared" si="46"/>
        <v>49</v>
      </c>
      <c r="B1767" t="str">
        <f>"49.0104"</f>
        <v>49.0104</v>
      </c>
      <c r="C1767" t="s">
        <v>1321</v>
      </c>
    </row>
    <row r="1768" spans="1:3" x14ac:dyDescent="0.25">
      <c r="A1768" t="str">
        <f t="shared" si="46"/>
        <v>49</v>
      </c>
      <c r="B1768" t="str">
        <f>"49.0105"</f>
        <v>49.0105</v>
      </c>
      <c r="C1768" t="s">
        <v>1322</v>
      </c>
    </row>
    <row r="1769" spans="1:3" x14ac:dyDescent="0.25">
      <c r="A1769" t="str">
        <f t="shared" si="46"/>
        <v>49</v>
      </c>
      <c r="B1769" t="str">
        <f>"49.0106"</f>
        <v>49.0106</v>
      </c>
      <c r="C1769" t="s">
        <v>1323</v>
      </c>
    </row>
    <row r="1770" spans="1:3" x14ac:dyDescent="0.25">
      <c r="A1770" t="str">
        <f t="shared" si="46"/>
        <v>49</v>
      </c>
      <c r="B1770" t="str">
        <f>"49.0108"</f>
        <v>49.0108</v>
      </c>
      <c r="C1770" t="s">
        <v>1324</v>
      </c>
    </row>
    <row r="1771" spans="1:3" x14ac:dyDescent="0.25">
      <c r="A1771" t="str">
        <f t="shared" si="46"/>
        <v>49</v>
      </c>
      <c r="B1771" t="str">
        <f>"49.0109"</f>
        <v>49.0109</v>
      </c>
      <c r="C1771" t="s">
        <v>2102</v>
      </c>
    </row>
    <row r="1772" spans="1:3" x14ac:dyDescent="0.25">
      <c r="A1772" t="str">
        <f t="shared" si="46"/>
        <v>49</v>
      </c>
      <c r="B1772" t="str">
        <f>"49.0199"</f>
        <v>49.0199</v>
      </c>
      <c r="C1772" t="s">
        <v>1325</v>
      </c>
    </row>
    <row r="1773" spans="1:3" x14ac:dyDescent="0.25">
      <c r="A1773" t="str">
        <f t="shared" si="46"/>
        <v>49</v>
      </c>
      <c r="B1773" t="str">
        <f>"49.02"</f>
        <v>49.02</v>
      </c>
      <c r="C1773" t="s">
        <v>1326</v>
      </c>
    </row>
    <row r="1774" spans="1:3" x14ac:dyDescent="0.25">
      <c r="A1774" t="str">
        <f t="shared" si="46"/>
        <v>49</v>
      </c>
      <c r="B1774" t="str">
        <f>"49.0202"</f>
        <v>49.0202</v>
      </c>
      <c r="C1774" t="s">
        <v>1327</v>
      </c>
    </row>
    <row r="1775" spans="1:3" x14ac:dyDescent="0.25">
      <c r="A1775" t="str">
        <f t="shared" si="46"/>
        <v>49</v>
      </c>
      <c r="B1775" t="str">
        <f>"49.0205"</f>
        <v>49.0205</v>
      </c>
      <c r="C1775" t="s">
        <v>1328</v>
      </c>
    </row>
    <row r="1776" spans="1:3" x14ac:dyDescent="0.25">
      <c r="A1776" t="str">
        <f t="shared" si="46"/>
        <v>49</v>
      </c>
      <c r="B1776" t="str">
        <f>"49.0206"</f>
        <v>49.0206</v>
      </c>
      <c r="C1776" t="s">
        <v>2103</v>
      </c>
    </row>
    <row r="1777" spans="1:3" x14ac:dyDescent="0.25">
      <c r="A1777" t="str">
        <f t="shared" si="46"/>
        <v>49</v>
      </c>
      <c r="B1777" t="str">
        <f>"49.0207"</f>
        <v>49.0207</v>
      </c>
      <c r="C1777" t="s">
        <v>1329</v>
      </c>
    </row>
    <row r="1778" spans="1:3" x14ac:dyDescent="0.25">
      <c r="A1778" t="str">
        <f t="shared" si="46"/>
        <v>49</v>
      </c>
      <c r="B1778" t="str">
        <f>"49.0208"</f>
        <v>49.0208</v>
      </c>
      <c r="C1778" t="s">
        <v>1330</v>
      </c>
    </row>
    <row r="1779" spans="1:3" x14ac:dyDescent="0.25">
      <c r="A1779" t="str">
        <f t="shared" si="46"/>
        <v>49</v>
      </c>
      <c r="B1779" t="str">
        <f>"49.0209"</f>
        <v>49.0209</v>
      </c>
      <c r="C1779" t="s">
        <v>2104</v>
      </c>
    </row>
    <row r="1780" spans="1:3" x14ac:dyDescent="0.25">
      <c r="A1780" t="str">
        <f t="shared" si="46"/>
        <v>49</v>
      </c>
      <c r="B1780" t="str">
        <f>"49.0299"</f>
        <v>49.0299</v>
      </c>
      <c r="C1780" t="s">
        <v>1331</v>
      </c>
    </row>
    <row r="1781" spans="1:3" x14ac:dyDescent="0.25">
      <c r="A1781" t="str">
        <f t="shared" si="46"/>
        <v>49</v>
      </c>
      <c r="B1781" t="str">
        <f>"49.03"</f>
        <v>49.03</v>
      </c>
      <c r="C1781" t="s">
        <v>1332</v>
      </c>
    </row>
    <row r="1782" spans="1:3" x14ac:dyDescent="0.25">
      <c r="A1782" t="str">
        <f t="shared" si="46"/>
        <v>49</v>
      </c>
      <c r="B1782" t="str">
        <f>"49.0303"</f>
        <v>49.0303</v>
      </c>
      <c r="C1782" t="s">
        <v>1333</v>
      </c>
    </row>
    <row r="1783" spans="1:3" x14ac:dyDescent="0.25">
      <c r="A1783" t="str">
        <f t="shared" si="46"/>
        <v>49</v>
      </c>
      <c r="B1783" t="str">
        <f>"49.0304"</f>
        <v>49.0304</v>
      </c>
      <c r="C1783" t="s">
        <v>1334</v>
      </c>
    </row>
    <row r="1784" spans="1:3" x14ac:dyDescent="0.25">
      <c r="A1784" t="str">
        <f t="shared" si="46"/>
        <v>49</v>
      </c>
      <c r="B1784" t="str">
        <f>"49.0309"</f>
        <v>49.0309</v>
      </c>
      <c r="C1784" t="s">
        <v>1335</v>
      </c>
    </row>
    <row r="1785" spans="1:3" x14ac:dyDescent="0.25">
      <c r="A1785" t="str">
        <f t="shared" si="46"/>
        <v>49</v>
      </c>
      <c r="B1785" t="str">
        <f>"49.0399"</f>
        <v>49.0399</v>
      </c>
      <c r="C1785" t="s">
        <v>1336</v>
      </c>
    </row>
    <row r="1786" spans="1:3" x14ac:dyDescent="0.25">
      <c r="A1786" t="str">
        <f t="shared" si="46"/>
        <v>49</v>
      </c>
      <c r="B1786" t="str">
        <f>"49.99"</f>
        <v>49.99</v>
      </c>
      <c r="C1786" t="s">
        <v>1337</v>
      </c>
    </row>
    <row r="1787" spans="1:3" x14ac:dyDescent="0.25">
      <c r="A1787" t="str">
        <f t="shared" si="46"/>
        <v>49</v>
      </c>
      <c r="B1787" t="str">
        <f>"49.9999"</f>
        <v>49.9999</v>
      </c>
      <c r="C1787" t="s">
        <v>1337</v>
      </c>
    </row>
    <row r="1788" spans="1:3" x14ac:dyDescent="0.25">
      <c r="A1788" t="str">
        <f>"50"</f>
        <v>50</v>
      </c>
      <c r="B1788" t="str">
        <f>"50"</f>
        <v>50</v>
      </c>
      <c r="C1788" t="s">
        <v>1338</v>
      </c>
    </row>
    <row r="1789" spans="1:3" x14ac:dyDescent="0.25">
      <c r="A1789" t="str">
        <f t="shared" ref="A1789:A1852" si="47">"50"</f>
        <v>50</v>
      </c>
      <c r="B1789" t="str">
        <f>"50.01"</f>
        <v>50.01</v>
      </c>
      <c r="C1789" t="s">
        <v>1339</v>
      </c>
    </row>
    <row r="1790" spans="1:3" x14ac:dyDescent="0.25">
      <c r="A1790" t="str">
        <f t="shared" si="47"/>
        <v>50</v>
      </c>
      <c r="B1790" t="str">
        <f>"50.0101"</f>
        <v>50.0101</v>
      </c>
      <c r="C1790" t="s">
        <v>1339</v>
      </c>
    </row>
    <row r="1791" spans="1:3" x14ac:dyDescent="0.25">
      <c r="A1791" t="str">
        <f t="shared" si="47"/>
        <v>50</v>
      </c>
      <c r="B1791" t="str">
        <f>"50.0102"</f>
        <v>50.0102</v>
      </c>
      <c r="C1791" t="s">
        <v>1340</v>
      </c>
    </row>
    <row r="1792" spans="1:3" x14ac:dyDescent="0.25">
      <c r="A1792" t="str">
        <f t="shared" si="47"/>
        <v>50</v>
      </c>
      <c r="B1792" t="str">
        <f>"50.02"</f>
        <v>50.02</v>
      </c>
      <c r="C1792" t="s">
        <v>1341</v>
      </c>
    </row>
    <row r="1793" spans="1:3" x14ac:dyDescent="0.25">
      <c r="A1793" t="str">
        <f t="shared" si="47"/>
        <v>50</v>
      </c>
      <c r="B1793" t="str">
        <f>"50.0201"</f>
        <v>50.0201</v>
      </c>
      <c r="C1793" t="s">
        <v>1341</v>
      </c>
    </row>
    <row r="1794" spans="1:3" x14ac:dyDescent="0.25">
      <c r="A1794" t="str">
        <f t="shared" si="47"/>
        <v>50</v>
      </c>
      <c r="B1794" t="str">
        <f>"50.03"</f>
        <v>50.03</v>
      </c>
      <c r="C1794" t="s">
        <v>1342</v>
      </c>
    </row>
    <row r="1795" spans="1:3" x14ac:dyDescent="0.25">
      <c r="A1795" t="str">
        <f t="shared" si="47"/>
        <v>50</v>
      </c>
      <c r="B1795" t="str">
        <f>"50.0301"</f>
        <v>50.0301</v>
      </c>
      <c r="C1795" t="s">
        <v>1343</v>
      </c>
    </row>
    <row r="1796" spans="1:3" x14ac:dyDescent="0.25">
      <c r="A1796" t="str">
        <f t="shared" si="47"/>
        <v>50</v>
      </c>
      <c r="B1796" t="str">
        <f>"50.0302"</f>
        <v>50.0302</v>
      </c>
      <c r="C1796" t="s">
        <v>1344</v>
      </c>
    </row>
    <row r="1797" spans="1:3" x14ac:dyDescent="0.25">
      <c r="A1797" t="str">
        <f t="shared" si="47"/>
        <v>50</v>
      </c>
      <c r="B1797" t="str">
        <f>"50.0399"</f>
        <v>50.0399</v>
      </c>
      <c r="C1797" t="s">
        <v>1345</v>
      </c>
    </row>
    <row r="1798" spans="1:3" x14ac:dyDescent="0.25">
      <c r="A1798" t="str">
        <f t="shared" si="47"/>
        <v>50</v>
      </c>
      <c r="B1798" t="str">
        <f>"50.04"</f>
        <v>50.04</v>
      </c>
      <c r="C1798" t="s">
        <v>1346</v>
      </c>
    </row>
    <row r="1799" spans="1:3" x14ac:dyDescent="0.25">
      <c r="A1799" t="str">
        <f t="shared" si="47"/>
        <v>50</v>
      </c>
      <c r="B1799" t="str">
        <f>"50.0401"</f>
        <v>50.0401</v>
      </c>
      <c r="C1799" t="s">
        <v>1347</v>
      </c>
    </row>
    <row r="1800" spans="1:3" x14ac:dyDescent="0.25">
      <c r="A1800" t="str">
        <f t="shared" si="47"/>
        <v>50</v>
      </c>
      <c r="B1800" t="str">
        <f>"50.0402"</f>
        <v>50.0402</v>
      </c>
      <c r="C1800" t="s">
        <v>1348</v>
      </c>
    </row>
    <row r="1801" spans="1:3" x14ac:dyDescent="0.25">
      <c r="A1801" t="str">
        <f t="shared" si="47"/>
        <v>50</v>
      </c>
      <c r="B1801" t="str">
        <f>"50.0404"</f>
        <v>50.0404</v>
      </c>
      <c r="C1801" t="s">
        <v>1349</v>
      </c>
    </row>
    <row r="1802" spans="1:3" x14ac:dyDescent="0.25">
      <c r="A1802" t="str">
        <f t="shared" si="47"/>
        <v>50</v>
      </c>
      <c r="B1802" t="str">
        <f>"50.0406"</f>
        <v>50.0406</v>
      </c>
      <c r="C1802" t="s">
        <v>1350</v>
      </c>
    </row>
    <row r="1803" spans="1:3" x14ac:dyDescent="0.25">
      <c r="A1803" t="str">
        <f t="shared" si="47"/>
        <v>50</v>
      </c>
      <c r="B1803" t="str">
        <f>"50.0407"</f>
        <v>50.0407</v>
      </c>
      <c r="C1803" t="s">
        <v>1351</v>
      </c>
    </row>
    <row r="1804" spans="1:3" x14ac:dyDescent="0.25">
      <c r="A1804" t="str">
        <f t="shared" si="47"/>
        <v>50</v>
      </c>
      <c r="B1804" t="str">
        <f>"50.0408"</f>
        <v>50.0408</v>
      </c>
      <c r="C1804" t="s">
        <v>1352</v>
      </c>
    </row>
    <row r="1805" spans="1:3" x14ac:dyDescent="0.25">
      <c r="A1805" t="str">
        <f t="shared" si="47"/>
        <v>50</v>
      </c>
      <c r="B1805" t="str">
        <f>"50.0409"</f>
        <v>50.0409</v>
      </c>
      <c r="C1805" t="s">
        <v>1353</v>
      </c>
    </row>
    <row r="1806" spans="1:3" x14ac:dyDescent="0.25">
      <c r="A1806" t="str">
        <f t="shared" si="47"/>
        <v>50</v>
      </c>
      <c r="B1806" t="str">
        <f>"50.0410"</f>
        <v>50.0410</v>
      </c>
      <c r="C1806" t="s">
        <v>1354</v>
      </c>
    </row>
    <row r="1807" spans="1:3" x14ac:dyDescent="0.25">
      <c r="A1807" t="str">
        <f t="shared" si="47"/>
        <v>50</v>
      </c>
      <c r="B1807" t="str">
        <f>"50.0411"</f>
        <v>50.0411</v>
      </c>
      <c r="C1807" t="s">
        <v>1355</v>
      </c>
    </row>
    <row r="1808" spans="1:3" x14ac:dyDescent="0.25">
      <c r="A1808" t="str">
        <f t="shared" si="47"/>
        <v>50</v>
      </c>
      <c r="B1808" t="str">
        <f>"50.0499"</f>
        <v>50.0499</v>
      </c>
      <c r="C1808" t="s">
        <v>1356</v>
      </c>
    </row>
    <row r="1809" spans="1:3" x14ac:dyDescent="0.25">
      <c r="A1809" t="str">
        <f t="shared" si="47"/>
        <v>50</v>
      </c>
      <c r="B1809" t="str">
        <f>"50.05"</f>
        <v>50.05</v>
      </c>
      <c r="C1809" t="s">
        <v>1357</v>
      </c>
    </row>
    <row r="1810" spans="1:3" x14ac:dyDescent="0.25">
      <c r="A1810" t="str">
        <f t="shared" si="47"/>
        <v>50</v>
      </c>
      <c r="B1810" t="str">
        <f>"50.0501"</f>
        <v>50.0501</v>
      </c>
      <c r="C1810" t="s">
        <v>1358</v>
      </c>
    </row>
    <row r="1811" spans="1:3" x14ac:dyDescent="0.25">
      <c r="A1811" t="str">
        <f t="shared" si="47"/>
        <v>50</v>
      </c>
      <c r="B1811" t="str">
        <f>"50.0502"</f>
        <v>50.0502</v>
      </c>
      <c r="C1811" t="s">
        <v>1359</v>
      </c>
    </row>
    <row r="1812" spans="1:3" x14ac:dyDescent="0.25">
      <c r="A1812" t="str">
        <f t="shared" si="47"/>
        <v>50</v>
      </c>
      <c r="B1812" t="str">
        <f>"50.0504"</f>
        <v>50.0504</v>
      </c>
      <c r="C1812" t="s">
        <v>1360</v>
      </c>
    </row>
    <row r="1813" spans="1:3" x14ac:dyDescent="0.25">
      <c r="A1813" t="str">
        <f t="shared" si="47"/>
        <v>50</v>
      </c>
      <c r="B1813" t="str">
        <f>"50.0505"</f>
        <v>50.0505</v>
      </c>
      <c r="C1813" t="s">
        <v>1361</v>
      </c>
    </row>
    <row r="1814" spans="1:3" x14ac:dyDescent="0.25">
      <c r="A1814" t="str">
        <f t="shared" si="47"/>
        <v>50</v>
      </c>
      <c r="B1814" t="str">
        <f>"50.0506"</f>
        <v>50.0506</v>
      </c>
      <c r="C1814" t="s">
        <v>1362</v>
      </c>
    </row>
    <row r="1815" spans="1:3" x14ac:dyDescent="0.25">
      <c r="A1815" t="str">
        <f t="shared" si="47"/>
        <v>50</v>
      </c>
      <c r="B1815" t="str">
        <f>"50.0507"</f>
        <v>50.0507</v>
      </c>
      <c r="C1815" t="s">
        <v>1363</v>
      </c>
    </row>
    <row r="1816" spans="1:3" x14ac:dyDescent="0.25">
      <c r="A1816" t="str">
        <f t="shared" si="47"/>
        <v>50</v>
      </c>
      <c r="B1816" t="str">
        <f>"50.0509"</f>
        <v>50.0509</v>
      </c>
      <c r="C1816" t="s">
        <v>1365</v>
      </c>
    </row>
    <row r="1817" spans="1:3" x14ac:dyDescent="0.25">
      <c r="A1817" t="str">
        <f t="shared" si="47"/>
        <v>50</v>
      </c>
      <c r="B1817" t="str">
        <f>"50.0510"</f>
        <v>50.0510</v>
      </c>
      <c r="C1817" t="s">
        <v>1366</v>
      </c>
    </row>
    <row r="1818" spans="1:3" x14ac:dyDescent="0.25">
      <c r="A1818" t="str">
        <f t="shared" si="47"/>
        <v>50</v>
      </c>
      <c r="B1818" t="str">
        <f>"50.0511"</f>
        <v>50.0511</v>
      </c>
      <c r="C1818" t="s">
        <v>2105</v>
      </c>
    </row>
    <row r="1819" spans="1:3" x14ac:dyDescent="0.25">
      <c r="A1819" t="str">
        <f t="shared" si="47"/>
        <v>50</v>
      </c>
      <c r="B1819" t="str">
        <f>"50.0512"</f>
        <v>50.0512</v>
      </c>
      <c r="C1819" t="s">
        <v>2106</v>
      </c>
    </row>
    <row r="1820" spans="1:3" x14ac:dyDescent="0.25">
      <c r="A1820" t="str">
        <f t="shared" si="47"/>
        <v>50</v>
      </c>
      <c r="B1820" t="str">
        <f>"50.0599"</f>
        <v>50.0599</v>
      </c>
      <c r="C1820" t="s">
        <v>1367</v>
      </c>
    </row>
    <row r="1821" spans="1:3" x14ac:dyDescent="0.25">
      <c r="A1821" t="str">
        <f t="shared" si="47"/>
        <v>50</v>
      </c>
      <c r="B1821" t="str">
        <f>"50.06"</f>
        <v>50.06</v>
      </c>
      <c r="C1821" t="s">
        <v>1368</v>
      </c>
    </row>
    <row r="1822" spans="1:3" x14ac:dyDescent="0.25">
      <c r="A1822" t="str">
        <f t="shared" si="47"/>
        <v>50</v>
      </c>
      <c r="B1822" t="str">
        <f>"50.0601"</f>
        <v>50.0601</v>
      </c>
      <c r="C1822" t="s">
        <v>2107</v>
      </c>
    </row>
    <row r="1823" spans="1:3" x14ac:dyDescent="0.25">
      <c r="A1823" t="str">
        <f t="shared" si="47"/>
        <v>50</v>
      </c>
      <c r="B1823" t="str">
        <f>"50.0602"</f>
        <v>50.0602</v>
      </c>
      <c r="C1823" t="s">
        <v>1369</v>
      </c>
    </row>
    <row r="1824" spans="1:3" x14ac:dyDescent="0.25">
      <c r="A1824" t="str">
        <f t="shared" si="47"/>
        <v>50</v>
      </c>
      <c r="B1824" t="str">
        <f>"50.0605"</f>
        <v>50.0605</v>
      </c>
      <c r="C1824" t="s">
        <v>1370</v>
      </c>
    </row>
    <row r="1825" spans="1:3" x14ac:dyDescent="0.25">
      <c r="A1825" t="str">
        <f t="shared" si="47"/>
        <v>50</v>
      </c>
      <c r="B1825" t="str">
        <f>"50.0607"</f>
        <v>50.0607</v>
      </c>
      <c r="C1825" t="s">
        <v>1371</v>
      </c>
    </row>
    <row r="1826" spans="1:3" x14ac:dyDescent="0.25">
      <c r="A1826" t="str">
        <f t="shared" si="47"/>
        <v>50</v>
      </c>
      <c r="B1826" t="str">
        <f>"50.0699"</f>
        <v>50.0699</v>
      </c>
      <c r="C1826" t="s">
        <v>1372</v>
      </c>
    </row>
    <row r="1827" spans="1:3" x14ac:dyDescent="0.25">
      <c r="A1827" t="str">
        <f t="shared" si="47"/>
        <v>50</v>
      </c>
      <c r="B1827" t="str">
        <f>"50.07"</f>
        <v>50.07</v>
      </c>
      <c r="C1827" t="s">
        <v>1373</v>
      </c>
    </row>
    <row r="1828" spans="1:3" x14ac:dyDescent="0.25">
      <c r="A1828" t="str">
        <f t="shared" si="47"/>
        <v>50</v>
      </c>
      <c r="B1828" t="str">
        <f>"50.0701"</f>
        <v>50.0701</v>
      </c>
      <c r="C1828" t="s">
        <v>1374</v>
      </c>
    </row>
    <row r="1829" spans="1:3" x14ac:dyDescent="0.25">
      <c r="A1829" t="str">
        <f t="shared" si="47"/>
        <v>50</v>
      </c>
      <c r="B1829" t="str">
        <f>"50.0702"</f>
        <v>50.0702</v>
      </c>
      <c r="C1829" t="s">
        <v>1375</v>
      </c>
    </row>
    <row r="1830" spans="1:3" x14ac:dyDescent="0.25">
      <c r="A1830" t="str">
        <f t="shared" si="47"/>
        <v>50</v>
      </c>
      <c r="B1830" t="str">
        <f>"50.0703"</f>
        <v>50.0703</v>
      </c>
      <c r="C1830" t="s">
        <v>1376</v>
      </c>
    </row>
    <row r="1831" spans="1:3" x14ac:dyDescent="0.25">
      <c r="A1831" t="str">
        <f t="shared" si="47"/>
        <v>50</v>
      </c>
      <c r="B1831" t="str">
        <f>"50.0705"</f>
        <v>50.0705</v>
      </c>
      <c r="C1831" t="s">
        <v>1377</v>
      </c>
    </row>
    <row r="1832" spans="1:3" x14ac:dyDescent="0.25">
      <c r="A1832" t="str">
        <f t="shared" si="47"/>
        <v>50</v>
      </c>
      <c r="B1832" t="str">
        <f>"50.0706"</f>
        <v>50.0706</v>
      </c>
      <c r="C1832" t="s">
        <v>1378</v>
      </c>
    </row>
    <row r="1833" spans="1:3" x14ac:dyDescent="0.25">
      <c r="A1833" t="str">
        <f t="shared" si="47"/>
        <v>50</v>
      </c>
      <c r="B1833" t="str">
        <f>"50.0708"</f>
        <v>50.0708</v>
      </c>
      <c r="C1833" t="s">
        <v>1379</v>
      </c>
    </row>
    <row r="1834" spans="1:3" x14ac:dyDescent="0.25">
      <c r="A1834" t="str">
        <f t="shared" si="47"/>
        <v>50</v>
      </c>
      <c r="B1834" t="str">
        <f>"50.0709"</f>
        <v>50.0709</v>
      </c>
      <c r="C1834" t="s">
        <v>1380</v>
      </c>
    </row>
    <row r="1835" spans="1:3" x14ac:dyDescent="0.25">
      <c r="A1835" t="str">
        <f t="shared" si="47"/>
        <v>50</v>
      </c>
      <c r="B1835" t="str">
        <f>"50.0710"</f>
        <v>50.0710</v>
      </c>
      <c r="C1835" t="s">
        <v>1381</v>
      </c>
    </row>
    <row r="1836" spans="1:3" x14ac:dyDescent="0.25">
      <c r="A1836" t="str">
        <f t="shared" si="47"/>
        <v>50</v>
      </c>
      <c r="B1836" t="str">
        <f>"50.0711"</f>
        <v>50.0711</v>
      </c>
      <c r="C1836" t="s">
        <v>1382</v>
      </c>
    </row>
    <row r="1837" spans="1:3" x14ac:dyDescent="0.25">
      <c r="A1837" t="str">
        <f t="shared" si="47"/>
        <v>50</v>
      </c>
      <c r="B1837" t="str">
        <f>"50.0712"</f>
        <v>50.0712</v>
      </c>
      <c r="C1837" t="s">
        <v>1383</v>
      </c>
    </row>
    <row r="1838" spans="1:3" x14ac:dyDescent="0.25">
      <c r="A1838" t="str">
        <f t="shared" si="47"/>
        <v>50</v>
      </c>
      <c r="B1838" t="str">
        <f>"50.0713"</f>
        <v>50.0713</v>
      </c>
      <c r="C1838" t="s">
        <v>2108</v>
      </c>
    </row>
    <row r="1839" spans="1:3" x14ac:dyDescent="0.25">
      <c r="A1839" t="str">
        <f t="shared" si="47"/>
        <v>50</v>
      </c>
      <c r="B1839" t="str">
        <f>"50.0714"</f>
        <v>50.0714</v>
      </c>
      <c r="C1839" t="s">
        <v>2109</v>
      </c>
    </row>
    <row r="1840" spans="1:3" x14ac:dyDescent="0.25">
      <c r="A1840" t="str">
        <f t="shared" si="47"/>
        <v>50</v>
      </c>
      <c r="B1840" t="str">
        <f>"50.0799"</f>
        <v>50.0799</v>
      </c>
      <c r="C1840" t="s">
        <v>1384</v>
      </c>
    </row>
    <row r="1841" spans="1:3" x14ac:dyDescent="0.25">
      <c r="A1841" t="str">
        <f t="shared" si="47"/>
        <v>50</v>
      </c>
      <c r="B1841" t="str">
        <f>"50.09"</f>
        <v>50.09</v>
      </c>
      <c r="C1841" t="s">
        <v>1010</v>
      </c>
    </row>
    <row r="1842" spans="1:3" x14ac:dyDescent="0.25">
      <c r="A1842" t="str">
        <f t="shared" si="47"/>
        <v>50</v>
      </c>
      <c r="B1842" t="str">
        <f>"50.0901"</f>
        <v>50.0901</v>
      </c>
      <c r="C1842" t="s">
        <v>1385</v>
      </c>
    </row>
    <row r="1843" spans="1:3" x14ac:dyDescent="0.25">
      <c r="A1843" t="str">
        <f t="shared" si="47"/>
        <v>50</v>
      </c>
      <c r="B1843" t="str">
        <f>"50.0902"</f>
        <v>50.0902</v>
      </c>
      <c r="C1843" t="s">
        <v>1386</v>
      </c>
    </row>
    <row r="1844" spans="1:3" x14ac:dyDescent="0.25">
      <c r="A1844" t="str">
        <f t="shared" si="47"/>
        <v>50</v>
      </c>
      <c r="B1844" t="str">
        <f>"50.0903"</f>
        <v>50.0903</v>
      </c>
      <c r="C1844" t="s">
        <v>1387</v>
      </c>
    </row>
    <row r="1845" spans="1:3" x14ac:dyDescent="0.25">
      <c r="A1845" t="str">
        <f t="shared" si="47"/>
        <v>50</v>
      </c>
      <c r="B1845" t="str">
        <f>"50.0904"</f>
        <v>50.0904</v>
      </c>
      <c r="C1845" t="s">
        <v>1388</v>
      </c>
    </row>
    <row r="1846" spans="1:3" x14ac:dyDescent="0.25">
      <c r="A1846" t="str">
        <f t="shared" si="47"/>
        <v>50</v>
      </c>
      <c r="B1846" t="str">
        <f>"50.0905"</f>
        <v>50.0905</v>
      </c>
      <c r="C1846" t="s">
        <v>1389</v>
      </c>
    </row>
    <row r="1847" spans="1:3" x14ac:dyDescent="0.25">
      <c r="A1847" t="str">
        <f t="shared" si="47"/>
        <v>50</v>
      </c>
      <c r="B1847" t="str">
        <f>"50.0906"</f>
        <v>50.0906</v>
      </c>
      <c r="C1847" t="s">
        <v>1390</v>
      </c>
    </row>
    <row r="1848" spans="1:3" x14ac:dyDescent="0.25">
      <c r="A1848" t="str">
        <f t="shared" si="47"/>
        <v>50</v>
      </c>
      <c r="B1848" t="str">
        <f>"50.0907"</f>
        <v>50.0907</v>
      </c>
      <c r="C1848" t="s">
        <v>1391</v>
      </c>
    </row>
    <row r="1849" spans="1:3" x14ac:dyDescent="0.25">
      <c r="A1849" t="str">
        <f t="shared" si="47"/>
        <v>50</v>
      </c>
      <c r="B1849" t="str">
        <f>"50.0908"</f>
        <v>50.0908</v>
      </c>
      <c r="C1849" t="s">
        <v>1392</v>
      </c>
    </row>
    <row r="1850" spans="1:3" x14ac:dyDescent="0.25">
      <c r="A1850" t="str">
        <f t="shared" si="47"/>
        <v>50</v>
      </c>
      <c r="B1850" t="str">
        <f>"50.0910"</f>
        <v>50.0910</v>
      </c>
      <c r="C1850" t="s">
        <v>1393</v>
      </c>
    </row>
    <row r="1851" spans="1:3" x14ac:dyDescent="0.25">
      <c r="A1851" t="str">
        <f t="shared" si="47"/>
        <v>50</v>
      </c>
      <c r="B1851" t="str">
        <f>"50.0911"</f>
        <v>50.0911</v>
      </c>
      <c r="C1851" t="s">
        <v>1394</v>
      </c>
    </row>
    <row r="1852" spans="1:3" x14ac:dyDescent="0.25">
      <c r="A1852" t="str">
        <f t="shared" si="47"/>
        <v>50</v>
      </c>
      <c r="B1852" t="str">
        <f>"50.0912"</f>
        <v>50.0912</v>
      </c>
      <c r="C1852" t="s">
        <v>1395</v>
      </c>
    </row>
    <row r="1853" spans="1:3" x14ac:dyDescent="0.25">
      <c r="A1853" t="str">
        <f t="shared" ref="A1853:A1868" si="48">"50"</f>
        <v>50</v>
      </c>
      <c r="B1853" t="str">
        <f>"50.0913"</f>
        <v>50.0913</v>
      </c>
      <c r="C1853" t="s">
        <v>1396</v>
      </c>
    </row>
    <row r="1854" spans="1:3" x14ac:dyDescent="0.25">
      <c r="A1854" t="str">
        <f t="shared" si="48"/>
        <v>50</v>
      </c>
      <c r="B1854" t="str">
        <f>"50.0914"</f>
        <v>50.0914</v>
      </c>
      <c r="C1854" t="s">
        <v>1397</v>
      </c>
    </row>
    <row r="1855" spans="1:3" x14ac:dyDescent="0.25">
      <c r="A1855" t="str">
        <f t="shared" si="48"/>
        <v>50</v>
      </c>
      <c r="B1855" t="str">
        <f>"50.0915"</f>
        <v>50.0915</v>
      </c>
      <c r="C1855" t="s">
        <v>1398</v>
      </c>
    </row>
    <row r="1856" spans="1:3" x14ac:dyDescent="0.25">
      <c r="A1856" t="str">
        <f t="shared" si="48"/>
        <v>50</v>
      </c>
      <c r="B1856" t="str">
        <f>"50.0916"</f>
        <v>50.0916</v>
      </c>
      <c r="C1856" t="s">
        <v>1399</v>
      </c>
    </row>
    <row r="1857" spans="1:3" x14ac:dyDescent="0.25">
      <c r="A1857" t="str">
        <f t="shared" si="48"/>
        <v>50</v>
      </c>
      <c r="B1857" t="str">
        <f>"50.0917"</f>
        <v>50.0917</v>
      </c>
      <c r="C1857" t="s">
        <v>2110</v>
      </c>
    </row>
    <row r="1858" spans="1:3" x14ac:dyDescent="0.25">
      <c r="A1858" t="str">
        <f t="shared" si="48"/>
        <v>50</v>
      </c>
      <c r="B1858" t="str">
        <f>"50.0999"</f>
        <v>50.0999</v>
      </c>
      <c r="C1858" t="s">
        <v>1400</v>
      </c>
    </row>
    <row r="1859" spans="1:3" x14ac:dyDescent="0.25">
      <c r="A1859" t="str">
        <f t="shared" si="48"/>
        <v>50</v>
      </c>
      <c r="B1859" t="str">
        <f>"50.10"</f>
        <v>50.10</v>
      </c>
      <c r="C1859" t="s">
        <v>2111</v>
      </c>
    </row>
    <row r="1860" spans="1:3" x14ac:dyDescent="0.25">
      <c r="A1860" t="str">
        <f t="shared" si="48"/>
        <v>50</v>
      </c>
      <c r="B1860" t="str">
        <f>"50.1001"</f>
        <v>50.1001</v>
      </c>
      <c r="C1860" t="s">
        <v>2112</v>
      </c>
    </row>
    <row r="1861" spans="1:3" x14ac:dyDescent="0.25">
      <c r="A1861" t="str">
        <f t="shared" si="48"/>
        <v>50</v>
      </c>
      <c r="B1861" t="str">
        <f>"50.1002"</f>
        <v>50.1002</v>
      </c>
      <c r="C1861" t="s">
        <v>1401</v>
      </c>
    </row>
    <row r="1862" spans="1:3" x14ac:dyDescent="0.25">
      <c r="A1862" t="str">
        <f t="shared" si="48"/>
        <v>50</v>
      </c>
      <c r="B1862" t="str">
        <f>"50.1003"</f>
        <v>50.1003</v>
      </c>
      <c r="C1862" t="s">
        <v>1402</v>
      </c>
    </row>
    <row r="1863" spans="1:3" x14ac:dyDescent="0.25">
      <c r="A1863" t="str">
        <f t="shared" si="48"/>
        <v>50</v>
      </c>
      <c r="B1863" t="str">
        <f>"50.1004"</f>
        <v>50.1004</v>
      </c>
      <c r="C1863" t="s">
        <v>1364</v>
      </c>
    </row>
    <row r="1864" spans="1:3" x14ac:dyDescent="0.25">
      <c r="A1864" t="str">
        <f t="shared" si="48"/>
        <v>50</v>
      </c>
      <c r="B1864" t="str">
        <f>"50.1099"</f>
        <v>50.1099</v>
      </c>
      <c r="C1864" t="s">
        <v>1403</v>
      </c>
    </row>
    <row r="1865" spans="1:3" x14ac:dyDescent="0.25">
      <c r="A1865" t="str">
        <f t="shared" si="48"/>
        <v>50</v>
      </c>
      <c r="B1865" t="str">
        <f>"50.11"</f>
        <v>50.11</v>
      </c>
      <c r="C1865" t="s">
        <v>2113</v>
      </c>
    </row>
    <row r="1866" spans="1:3" x14ac:dyDescent="0.25">
      <c r="A1866" t="str">
        <f t="shared" si="48"/>
        <v>50</v>
      </c>
      <c r="B1866" t="str">
        <f>"50.1101"</f>
        <v>50.1101</v>
      </c>
      <c r="C1866" t="s">
        <v>2113</v>
      </c>
    </row>
    <row r="1867" spans="1:3" x14ac:dyDescent="0.25">
      <c r="A1867" t="str">
        <f t="shared" si="48"/>
        <v>50</v>
      </c>
      <c r="B1867" t="str">
        <f>"50.99"</f>
        <v>50.99</v>
      </c>
      <c r="C1867" t="s">
        <v>1404</v>
      </c>
    </row>
    <row r="1868" spans="1:3" x14ac:dyDescent="0.25">
      <c r="A1868" t="str">
        <f t="shared" si="48"/>
        <v>50</v>
      </c>
      <c r="B1868" t="str">
        <f>"50.9999"</f>
        <v>50.9999</v>
      </c>
      <c r="C1868" t="s">
        <v>1404</v>
      </c>
    </row>
    <row r="1869" spans="1:3" x14ac:dyDescent="0.25">
      <c r="A1869" t="str">
        <f>"51"</f>
        <v>51</v>
      </c>
      <c r="B1869" t="str">
        <f>"51"</f>
        <v>51</v>
      </c>
      <c r="C1869" t="s">
        <v>1405</v>
      </c>
    </row>
    <row r="1870" spans="1:3" x14ac:dyDescent="0.25">
      <c r="A1870" t="str">
        <f t="shared" ref="A1870:A1933" si="49">"51"</f>
        <v>51</v>
      </c>
      <c r="B1870" t="str">
        <f>"51.00"</f>
        <v>51.00</v>
      </c>
      <c r="C1870" t="s">
        <v>1406</v>
      </c>
    </row>
    <row r="1871" spans="1:3" x14ac:dyDescent="0.25">
      <c r="A1871" t="str">
        <f t="shared" si="49"/>
        <v>51</v>
      </c>
      <c r="B1871" t="str">
        <f>"51.0000"</f>
        <v>51.0000</v>
      </c>
      <c r="C1871" t="s">
        <v>1406</v>
      </c>
    </row>
    <row r="1872" spans="1:3" x14ac:dyDescent="0.25">
      <c r="A1872" t="str">
        <f t="shared" si="49"/>
        <v>51</v>
      </c>
      <c r="B1872" t="str">
        <f>"51.0001"</f>
        <v>51.0001</v>
      </c>
      <c r="C1872" t="s">
        <v>1407</v>
      </c>
    </row>
    <row r="1873" spans="1:3" x14ac:dyDescent="0.25">
      <c r="A1873" t="str">
        <f t="shared" si="49"/>
        <v>51</v>
      </c>
      <c r="B1873" t="str">
        <f>"51.01"</f>
        <v>51.01</v>
      </c>
      <c r="C1873" t="s">
        <v>1408</v>
      </c>
    </row>
    <row r="1874" spans="1:3" x14ac:dyDescent="0.25">
      <c r="A1874" t="str">
        <f t="shared" si="49"/>
        <v>51</v>
      </c>
      <c r="B1874" t="str">
        <f>"51.0101"</f>
        <v>51.0101</v>
      </c>
      <c r="C1874" t="s">
        <v>1408</v>
      </c>
    </row>
    <row r="1875" spans="1:3" x14ac:dyDescent="0.25">
      <c r="A1875" t="str">
        <f t="shared" si="49"/>
        <v>51</v>
      </c>
      <c r="B1875" t="str">
        <f>"51.02"</f>
        <v>51.02</v>
      </c>
      <c r="C1875" t="s">
        <v>1409</v>
      </c>
    </row>
    <row r="1876" spans="1:3" x14ac:dyDescent="0.25">
      <c r="A1876" t="str">
        <f t="shared" si="49"/>
        <v>51</v>
      </c>
      <c r="B1876" t="str">
        <f>"51.0201"</f>
        <v>51.0201</v>
      </c>
      <c r="C1876" t="s">
        <v>1410</v>
      </c>
    </row>
    <row r="1877" spans="1:3" x14ac:dyDescent="0.25">
      <c r="A1877" t="str">
        <f t="shared" si="49"/>
        <v>51</v>
      </c>
      <c r="B1877" t="str">
        <f>"51.0202"</f>
        <v>51.0202</v>
      </c>
      <c r="C1877" t="s">
        <v>1411</v>
      </c>
    </row>
    <row r="1878" spans="1:3" x14ac:dyDescent="0.25">
      <c r="A1878" t="str">
        <f t="shared" si="49"/>
        <v>51</v>
      </c>
      <c r="B1878" t="str">
        <f>"51.0203"</f>
        <v>51.0203</v>
      </c>
      <c r="C1878" t="s">
        <v>1412</v>
      </c>
    </row>
    <row r="1879" spans="1:3" x14ac:dyDescent="0.25">
      <c r="A1879" t="str">
        <f t="shared" si="49"/>
        <v>51</v>
      </c>
      <c r="B1879" t="str">
        <f>"51.0204"</f>
        <v>51.0204</v>
      </c>
      <c r="C1879" t="s">
        <v>1413</v>
      </c>
    </row>
    <row r="1880" spans="1:3" x14ac:dyDescent="0.25">
      <c r="A1880" t="str">
        <f t="shared" si="49"/>
        <v>51</v>
      </c>
      <c r="B1880" t="str">
        <f>"51.0299"</f>
        <v>51.0299</v>
      </c>
      <c r="C1880" t="s">
        <v>1414</v>
      </c>
    </row>
    <row r="1881" spans="1:3" x14ac:dyDescent="0.25">
      <c r="A1881" t="str">
        <f t="shared" si="49"/>
        <v>51</v>
      </c>
      <c r="B1881" t="str">
        <f>"51.04"</f>
        <v>51.04</v>
      </c>
      <c r="C1881" t="s">
        <v>1415</v>
      </c>
    </row>
    <row r="1882" spans="1:3" x14ac:dyDescent="0.25">
      <c r="A1882" t="str">
        <f t="shared" si="49"/>
        <v>51</v>
      </c>
      <c r="B1882" t="str">
        <f>"51.0401"</f>
        <v>51.0401</v>
      </c>
      <c r="C1882" t="s">
        <v>1415</v>
      </c>
    </row>
    <row r="1883" spans="1:3" x14ac:dyDescent="0.25">
      <c r="A1883" t="str">
        <f t="shared" si="49"/>
        <v>51</v>
      </c>
      <c r="B1883" t="str">
        <f>"51.05"</f>
        <v>51.05</v>
      </c>
      <c r="C1883" t="s">
        <v>1416</v>
      </c>
    </row>
    <row r="1884" spans="1:3" x14ac:dyDescent="0.25">
      <c r="A1884" t="str">
        <f t="shared" si="49"/>
        <v>51</v>
      </c>
      <c r="B1884" t="str">
        <f>"51.0501"</f>
        <v>51.0501</v>
      </c>
      <c r="C1884" t="s">
        <v>1417</v>
      </c>
    </row>
    <row r="1885" spans="1:3" x14ac:dyDescent="0.25">
      <c r="A1885" t="str">
        <f t="shared" si="49"/>
        <v>51</v>
      </c>
      <c r="B1885" t="str">
        <f>"51.0502"</f>
        <v>51.0502</v>
      </c>
      <c r="C1885" t="s">
        <v>1418</v>
      </c>
    </row>
    <row r="1886" spans="1:3" x14ac:dyDescent="0.25">
      <c r="A1886" t="str">
        <f t="shared" si="49"/>
        <v>51</v>
      </c>
      <c r="B1886" t="str">
        <f>"51.0503"</f>
        <v>51.0503</v>
      </c>
      <c r="C1886" t="s">
        <v>1419</v>
      </c>
    </row>
    <row r="1887" spans="1:3" x14ac:dyDescent="0.25">
      <c r="A1887" t="str">
        <f t="shared" si="49"/>
        <v>51</v>
      </c>
      <c r="B1887" t="str">
        <f>"51.0504"</f>
        <v>51.0504</v>
      </c>
      <c r="C1887" t="s">
        <v>1420</v>
      </c>
    </row>
    <row r="1888" spans="1:3" x14ac:dyDescent="0.25">
      <c r="A1888" t="str">
        <f t="shared" si="49"/>
        <v>51</v>
      </c>
      <c r="B1888" t="str">
        <f>"51.0505"</f>
        <v>51.0505</v>
      </c>
      <c r="C1888" t="s">
        <v>1421</v>
      </c>
    </row>
    <row r="1889" spans="1:3" x14ac:dyDescent="0.25">
      <c r="A1889" t="str">
        <f t="shared" si="49"/>
        <v>51</v>
      </c>
      <c r="B1889" t="str">
        <f>"51.0506"</f>
        <v>51.0506</v>
      </c>
      <c r="C1889" t="s">
        <v>1422</v>
      </c>
    </row>
    <row r="1890" spans="1:3" x14ac:dyDescent="0.25">
      <c r="A1890" t="str">
        <f t="shared" si="49"/>
        <v>51</v>
      </c>
      <c r="B1890" t="str">
        <f>"51.0507"</f>
        <v>51.0507</v>
      </c>
      <c r="C1890" t="s">
        <v>1423</v>
      </c>
    </row>
    <row r="1891" spans="1:3" x14ac:dyDescent="0.25">
      <c r="A1891" t="str">
        <f t="shared" si="49"/>
        <v>51</v>
      </c>
      <c r="B1891" t="str">
        <f>"51.0508"</f>
        <v>51.0508</v>
      </c>
      <c r="C1891" t="s">
        <v>1424</v>
      </c>
    </row>
    <row r="1892" spans="1:3" x14ac:dyDescent="0.25">
      <c r="A1892" t="str">
        <f t="shared" si="49"/>
        <v>51</v>
      </c>
      <c r="B1892" t="str">
        <f>"51.0509"</f>
        <v>51.0509</v>
      </c>
      <c r="C1892" t="s">
        <v>1425</v>
      </c>
    </row>
    <row r="1893" spans="1:3" x14ac:dyDescent="0.25">
      <c r="A1893" t="str">
        <f t="shared" si="49"/>
        <v>51</v>
      </c>
      <c r="B1893" t="str">
        <f>"51.0510"</f>
        <v>51.0510</v>
      </c>
      <c r="C1893" t="s">
        <v>1426</v>
      </c>
    </row>
    <row r="1894" spans="1:3" x14ac:dyDescent="0.25">
      <c r="A1894" t="str">
        <f t="shared" si="49"/>
        <v>51</v>
      </c>
      <c r="B1894" t="str">
        <f>"51.0511"</f>
        <v>51.0511</v>
      </c>
      <c r="C1894" t="s">
        <v>1427</v>
      </c>
    </row>
    <row r="1895" spans="1:3" x14ac:dyDescent="0.25">
      <c r="A1895" t="str">
        <f t="shared" si="49"/>
        <v>51</v>
      </c>
      <c r="B1895" t="str">
        <f>"51.0512"</f>
        <v>51.0512</v>
      </c>
      <c r="C1895" t="s">
        <v>2114</v>
      </c>
    </row>
    <row r="1896" spans="1:3" x14ac:dyDescent="0.25">
      <c r="A1896" t="str">
        <f t="shared" si="49"/>
        <v>51</v>
      </c>
      <c r="B1896" t="str">
        <f>"51.0513"</f>
        <v>51.0513</v>
      </c>
      <c r="C1896" t="s">
        <v>2115</v>
      </c>
    </row>
    <row r="1897" spans="1:3" x14ac:dyDescent="0.25">
      <c r="A1897" t="str">
        <f t="shared" si="49"/>
        <v>51</v>
      </c>
      <c r="B1897" t="str">
        <f>"51.0514"</f>
        <v>51.0514</v>
      </c>
      <c r="C1897" t="s">
        <v>2116</v>
      </c>
    </row>
    <row r="1898" spans="1:3" x14ac:dyDescent="0.25">
      <c r="A1898" t="str">
        <f t="shared" si="49"/>
        <v>51</v>
      </c>
      <c r="B1898" t="str">
        <f>"51.0599"</f>
        <v>51.0599</v>
      </c>
      <c r="C1898" t="s">
        <v>1428</v>
      </c>
    </row>
    <row r="1899" spans="1:3" x14ac:dyDescent="0.25">
      <c r="A1899" t="str">
        <f t="shared" si="49"/>
        <v>51</v>
      </c>
      <c r="B1899" t="str">
        <f>"51.06"</f>
        <v>51.06</v>
      </c>
      <c r="C1899" t="s">
        <v>1429</v>
      </c>
    </row>
    <row r="1900" spans="1:3" x14ac:dyDescent="0.25">
      <c r="A1900" t="str">
        <f t="shared" si="49"/>
        <v>51</v>
      </c>
      <c r="B1900" t="str">
        <f>"51.0601"</f>
        <v>51.0601</v>
      </c>
      <c r="C1900" t="s">
        <v>1430</v>
      </c>
    </row>
    <row r="1901" spans="1:3" x14ac:dyDescent="0.25">
      <c r="A1901" t="str">
        <f t="shared" si="49"/>
        <v>51</v>
      </c>
      <c r="B1901" t="str">
        <f>"51.0602"</f>
        <v>51.0602</v>
      </c>
      <c r="C1901" t="s">
        <v>1431</v>
      </c>
    </row>
    <row r="1902" spans="1:3" x14ac:dyDescent="0.25">
      <c r="A1902" t="str">
        <f t="shared" si="49"/>
        <v>51</v>
      </c>
      <c r="B1902" t="str">
        <f>"51.0603"</f>
        <v>51.0603</v>
      </c>
      <c r="C1902" t="s">
        <v>1432</v>
      </c>
    </row>
    <row r="1903" spans="1:3" x14ac:dyDescent="0.25">
      <c r="A1903" t="str">
        <f t="shared" si="49"/>
        <v>51</v>
      </c>
      <c r="B1903" t="str">
        <f>"51.0699"</f>
        <v>51.0699</v>
      </c>
      <c r="C1903" t="s">
        <v>1433</v>
      </c>
    </row>
    <row r="1904" spans="1:3" x14ac:dyDescent="0.25">
      <c r="A1904" t="str">
        <f t="shared" si="49"/>
        <v>51</v>
      </c>
      <c r="B1904" t="str">
        <f>"51.07"</f>
        <v>51.07</v>
      </c>
      <c r="C1904" t="s">
        <v>1434</v>
      </c>
    </row>
    <row r="1905" spans="1:3" x14ac:dyDescent="0.25">
      <c r="A1905" t="str">
        <f t="shared" si="49"/>
        <v>51</v>
      </c>
      <c r="B1905" t="str">
        <f>"51.0701"</f>
        <v>51.0701</v>
      </c>
      <c r="C1905" t="s">
        <v>1435</v>
      </c>
    </row>
    <row r="1906" spans="1:3" x14ac:dyDescent="0.25">
      <c r="A1906" t="str">
        <f t="shared" si="49"/>
        <v>51</v>
      </c>
      <c r="B1906" t="str">
        <f>"51.0702"</f>
        <v>51.0702</v>
      </c>
      <c r="C1906" t="s">
        <v>1436</v>
      </c>
    </row>
    <row r="1907" spans="1:3" x14ac:dyDescent="0.25">
      <c r="A1907" t="str">
        <f t="shared" si="49"/>
        <v>51</v>
      </c>
      <c r="B1907" t="str">
        <f>"51.0703"</f>
        <v>51.0703</v>
      </c>
      <c r="C1907" t="s">
        <v>1437</v>
      </c>
    </row>
    <row r="1908" spans="1:3" x14ac:dyDescent="0.25">
      <c r="A1908" t="str">
        <f t="shared" si="49"/>
        <v>51</v>
      </c>
      <c r="B1908" t="str">
        <f>"51.0704"</f>
        <v>51.0704</v>
      </c>
      <c r="C1908" t="s">
        <v>1438</v>
      </c>
    </row>
    <row r="1909" spans="1:3" x14ac:dyDescent="0.25">
      <c r="A1909" t="str">
        <f t="shared" si="49"/>
        <v>51</v>
      </c>
      <c r="B1909" t="str">
        <f>"51.0705"</f>
        <v>51.0705</v>
      </c>
      <c r="C1909" t="s">
        <v>1439</v>
      </c>
    </row>
    <row r="1910" spans="1:3" x14ac:dyDescent="0.25">
      <c r="A1910" t="str">
        <f t="shared" si="49"/>
        <v>51</v>
      </c>
      <c r="B1910" t="str">
        <f>"51.0706"</f>
        <v>51.0706</v>
      </c>
      <c r="C1910" t="s">
        <v>1440</v>
      </c>
    </row>
    <row r="1911" spans="1:3" x14ac:dyDescent="0.25">
      <c r="A1911" t="str">
        <f t="shared" si="49"/>
        <v>51</v>
      </c>
      <c r="B1911" t="str">
        <f>"51.0707"</f>
        <v>51.0707</v>
      </c>
      <c r="C1911" t="s">
        <v>1441</v>
      </c>
    </row>
    <row r="1912" spans="1:3" x14ac:dyDescent="0.25">
      <c r="A1912" t="str">
        <f t="shared" si="49"/>
        <v>51</v>
      </c>
      <c r="B1912" t="str">
        <f>"51.0708"</f>
        <v>51.0708</v>
      </c>
      <c r="C1912" t="s">
        <v>1442</v>
      </c>
    </row>
    <row r="1913" spans="1:3" x14ac:dyDescent="0.25">
      <c r="A1913" t="str">
        <f t="shared" si="49"/>
        <v>51</v>
      </c>
      <c r="B1913" t="str">
        <f>"51.0709"</f>
        <v>51.0709</v>
      </c>
      <c r="C1913" t="s">
        <v>1443</v>
      </c>
    </row>
    <row r="1914" spans="1:3" x14ac:dyDescent="0.25">
      <c r="A1914" t="str">
        <f t="shared" si="49"/>
        <v>51</v>
      </c>
      <c r="B1914" t="str">
        <f>"51.0710"</f>
        <v>51.0710</v>
      </c>
      <c r="C1914" t="s">
        <v>1444</v>
      </c>
    </row>
    <row r="1915" spans="1:3" x14ac:dyDescent="0.25">
      <c r="A1915" t="str">
        <f t="shared" si="49"/>
        <v>51</v>
      </c>
      <c r="B1915" t="str">
        <f>"51.0711"</f>
        <v>51.0711</v>
      </c>
      <c r="C1915" t="s">
        <v>1445</v>
      </c>
    </row>
    <row r="1916" spans="1:3" x14ac:dyDescent="0.25">
      <c r="A1916" t="str">
        <f t="shared" si="49"/>
        <v>51</v>
      </c>
      <c r="B1916" t="str">
        <f>"51.0712"</f>
        <v>51.0712</v>
      </c>
      <c r="C1916" t="s">
        <v>1446</v>
      </c>
    </row>
    <row r="1917" spans="1:3" x14ac:dyDescent="0.25">
      <c r="A1917" t="str">
        <f t="shared" si="49"/>
        <v>51</v>
      </c>
      <c r="B1917" t="str">
        <f>"51.0713"</f>
        <v>51.0713</v>
      </c>
      <c r="C1917" t="s">
        <v>1447</v>
      </c>
    </row>
    <row r="1918" spans="1:3" x14ac:dyDescent="0.25">
      <c r="A1918" t="str">
        <f t="shared" si="49"/>
        <v>51</v>
      </c>
      <c r="B1918" t="str">
        <f>"51.0714"</f>
        <v>51.0714</v>
      </c>
      <c r="C1918" t="s">
        <v>1448</v>
      </c>
    </row>
    <row r="1919" spans="1:3" x14ac:dyDescent="0.25">
      <c r="A1919" t="str">
        <f t="shared" si="49"/>
        <v>51</v>
      </c>
      <c r="B1919" t="str">
        <f>"51.0715"</f>
        <v>51.0715</v>
      </c>
      <c r="C1919" t="s">
        <v>1449</v>
      </c>
    </row>
    <row r="1920" spans="1:3" x14ac:dyDescent="0.25">
      <c r="A1920" t="str">
        <f t="shared" si="49"/>
        <v>51</v>
      </c>
      <c r="B1920" t="str">
        <f>"51.0716"</f>
        <v>51.0716</v>
      </c>
      <c r="C1920" t="s">
        <v>1450</v>
      </c>
    </row>
    <row r="1921" spans="1:3" x14ac:dyDescent="0.25">
      <c r="A1921" t="str">
        <f t="shared" si="49"/>
        <v>51</v>
      </c>
      <c r="B1921" t="str">
        <f>"51.0717"</f>
        <v>51.0717</v>
      </c>
      <c r="C1921" t="s">
        <v>1451</v>
      </c>
    </row>
    <row r="1922" spans="1:3" x14ac:dyDescent="0.25">
      <c r="A1922" t="str">
        <f t="shared" si="49"/>
        <v>51</v>
      </c>
      <c r="B1922" t="str">
        <f>"51.0718"</f>
        <v>51.0718</v>
      </c>
      <c r="C1922" t="s">
        <v>1452</v>
      </c>
    </row>
    <row r="1923" spans="1:3" x14ac:dyDescent="0.25">
      <c r="A1923" t="str">
        <f t="shared" si="49"/>
        <v>51</v>
      </c>
      <c r="B1923" t="str">
        <f>"51.0719"</f>
        <v>51.0719</v>
      </c>
      <c r="C1923" t="s">
        <v>1453</v>
      </c>
    </row>
    <row r="1924" spans="1:3" x14ac:dyDescent="0.25">
      <c r="A1924" t="str">
        <f t="shared" si="49"/>
        <v>51</v>
      </c>
      <c r="B1924" t="str">
        <f>"51.0720"</f>
        <v>51.0720</v>
      </c>
      <c r="C1924" t="s">
        <v>2117</v>
      </c>
    </row>
    <row r="1925" spans="1:3" x14ac:dyDescent="0.25">
      <c r="A1925" t="str">
        <f t="shared" si="49"/>
        <v>51</v>
      </c>
      <c r="B1925" t="str">
        <f>"51.0721"</f>
        <v>51.0721</v>
      </c>
      <c r="C1925" t="s">
        <v>2118</v>
      </c>
    </row>
    <row r="1926" spans="1:3" x14ac:dyDescent="0.25">
      <c r="A1926" t="str">
        <f t="shared" si="49"/>
        <v>51</v>
      </c>
      <c r="B1926" t="str">
        <f>"51.0722"</f>
        <v>51.0722</v>
      </c>
      <c r="C1926" t="s">
        <v>2119</v>
      </c>
    </row>
    <row r="1927" spans="1:3" x14ac:dyDescent="0.25">
      <c r="A1927" t="str">
        <f t="shared" si="49"/>
        <v>51</v>
      </c>
      <c r="B1927" t="str">
        <f>"51.0723"</f>
        <v>51.0723</v>
      </c>
      <c r="C1927" t="s">
        <v>2120</v>
      </c>
    </row>
    <row r="1928" spans="1:3" x14ac:dyDescent="0.25">
      <c r="A1928" t="str">
        <f t="shared" si="49"/>
        <v>51</v>
      </c>
      <c r="B1928" t="str">
        <f>"51.0799"</f>
        <v>51.0799</v>
      </c>
      <c r="C1928" t="s">
        <v>1454</v>
      </c>
    </row>
    <row r="1929" spans="1:3" x14ac:dyDescent="0.25">
      <c r="A1929" t="str">
        <f t="shared" si="49"/>
        <v>51</v>
      </c>
      <c r="B1929" t="str">
        <f>"51.08"</f>
        <v>51.08</v>
      </c>
      <c r="C1929" t="s">
        <v>1455</v>
      </c>
    </row>
    <row r="1930" spans="1:3" x14ac:dyDescent="0.25">
      <c r="A1930" t="str">
        <f t="shared" si="49"/>
        <v>51</v>
      </c>
      <c r="B1930" t="str">
        <f>"51.0801"</f>
        <v>51.0801</v>
      </c>
      <c r="C1930" t="s">
        <v>1456</v>
      </c>
    </row>
    <row r="1931" spans="1:3" x14ac:dyDescent="0.25">
      <c r="A1931" t="str">
        <f t="shared" si="49"/>
        <v>51</v>
      </c>
      <c r="B1931" t="str">
        <f>"51.0802"</f>
        <v>51.0802</v>
      </c>
      <c r="C1931" t="s">
        <v>1457</v>
      </c>
    </row>
    <row r="1932" spans="1:3" x14ac:dyDescent="0.25">
      <c r="A1932" t="str">
        <f t="shared" si="49"/>
        <v>51</v>
      </c>
      <c r="B1932" t="str">
        <f>"51.0803"</f>
        <v>51.0803</v>
      </c>
      <c r="C1932" t="s">
        <v>1458</v>
      </c>
    </row>
    <row r="1933" spans="1:3" x14ac:dyDescent="0.25">
      <c r="A1933" t="str">
        <f t="shared" si="49"/>
        <v>51</v>
      </c>
      <c r="B1933" t="str">
        <f>"51.0805"</f>
        <v>51.0805</v>
      </c>
      <c r="C1933" t="s">
        <v>1459</v>
      </c>
    </row>
    <row r="1934" spans="1:3" x14ac:dyDescent="0.25">
      <c r="A1934" t="str">
        <f t="shared" ref="A1934:A1997" si="50">"51"</f>
        <v>51</v>
      </c>
      <c r="B1934" t="str">
        <f>"51.0806"</f>
        <v>51.0806</v>
      </c>
      <c r="C1934" t="s">
        <v>2121</v>
      </c>
    </row>
    <row r="1935" spans="1:3" x14ac:dyDescent="0.25">
      <c r="A1935" t="str">
        <f t="shared" si="50"/>
        <v>51</v>
      </c>
      <c r="B1935" t="str">
        <f>"51.0808"</f>
        <v>51.0808</v>
      </c>
      <c r="C1935" t="s">
        <v>1460</v>
      </c>
    </row>
    <row r="1936" spans="1:3" x14ac:dyDescent="0.25">
      <c r="A1936" t="str">
        <f t="shared" si="50"/>
        <v>51</v>
      </c>
      <c r="B1936" t="str">
        <f>"51.0809"</f>
        <v>51.0809</v>
      </c>
      <c r="C1936" t="s">
        <v>1461</v>
      </c>
    </row>
    <row r="1937" spans="1:3" x14ac:dyDescent="0.25">
      <c r="A1937" t="str">
        <f t="shared" si="50"/>
        <v>51</v>
      </c>
      <c r="B1937" t="str">
        <f>"51.0810"</f>
        <v>51.0810</v>
      </c>
      <c r="C1937" t="s">
        <v>1462</v>
      </c>
    </row>
    <row r="1938" spans="1:3" x14ac:dyDescent="0.25">
      <c r="A1938" t="str">
        <f t="shared" si="50"/>
        <v>51</v>
      </c>
      <c r="B1938" t="str">
        <f>"51.0811"</f>
        <v>51.0811</v>
      </c>
      <c r="C1938" t="s">
        <v>1463</v>
      </c>
    </row>
    <row r="1939" spans="1:3" x14ac:dyDescent="0.25">
      <c r="A1939" t="str">
        <f t="shared" si="50"/>
        <v>51</v>
      </c>
      <c r="B1939" t="str">
        <f>"51.0812"</f>
        <v>51.0812</v>
      </c>
      <c r="C1939" t="s">
        <v>1464</v>
      </c>
    </row>
    <row r="1940" spans="1:3" x14ac:dyDescent="0.25">
      <c r="A1940" t="str">
        <f t="shared" si="50"/>
        <v>51</v>
      </c>
      <c r="B1940" t="str">
        <f>"51.0813"</f>
        <v>51.0813</v>
      </c>
      <c r="C1940" t="s">
        <v>2122</v>
      </c>
    </row>
    <row r="1941" spans="1:3" x14ac:dyDescent="0.25">
      <c r="A1941" t="str">
        <f t="shared" si="50"/>
        <v>51</v>
      </c>
      <c r="B1941" t="str">
        <f>"51.0814"</f>
        <v>51.0814</v>
      </c>
      <c r="C1941" t="s">
        <v>1465</v>
      </c>
    </row>
    <row r="1942" spans="1:3" x14ac:dyDescent="0.25">
      <c r="A1942" t="str">
        <f t="shared" si="50"/>
        <v>51</v>
      </c>
      <c r="B1942" t="str">
        <f>"51.0815"</f>
        <v>51.0815</v>
      </c>
      <c r="C1942" t="s">
        <v>1466</v>
      </c>
    </row>
    <row r="1943" spans="1:3" x14ac:dyDescent="0.25">
      <c r="A1943" t="str">
        <f t="shared" si="50"/>
        <v>51</v>
      </c>
      <c r="B1943" t="str">
        <f>"51.0816"</f>
        <v>51.0816</v>
      </c>
      <c r="C1943" t="s">
        <v>1467</v>
      </c>
    </row>
    <row r="1944" spans="1:3" x14ac:dyDescent="0.25">
      <c r="A1944" t="str">
        <f t="shared" si="50"/>
        <v>51</v>
      </c>
      <c r="B1944" t="str">
        <f>"51.0817"</f>
        <v>51.0817</v>
      </c>
      <c r="C1944" t="s">
        <v>1797</v>
      </c>
    </row>
    <row r="1945" spans="1:3" x14ac:dyDescent="0.25">
      <c r="A1945" t="str">
        <f t="shared" si="50"/>
        <v>51</v>
      </c>
      <c r="B1945" t="str">
        <f>"51.0899"</f>
        <v>51.0899</v>
      </c>
      <c r="C1945" t="s">
        <v>1468</v>
      </c>
    </row>
    <row r="1946" spans="1:3" x14ac:dyDescent="0.25">
      <c r="A1946" t="str">
        <f t="shared" si="50"/>
        <v>51</v>
      </c>
      <c r="B1946" t="str">
        <f>"51.09"</f>
        <v>51.09</v>
      </c>
      <c r="C1946" t="s">
        <v>1469</v>
      </c>
    </row>
    <row r="1947" spans="1:3" x14ac:dyDescent="0.25">
      <c r="A1947" t="str">
        <f t="shared" si="50"/>
        <v>51</v>
      </c>
      <c r="B1947" t="str">
        <f>"51.0901"</f>
        <v>51.0901</v>
      </c>
      <c r="C1947" t="s">
        <v>1470</v>
      </c>
    </row>
    <row r="1948" spans="1:3" x14ac:dyDescent="0.25">
      <c r="A1948" t="str">
        <f t="shared" si="50"/>
        <v>51</v>
      </c>
      <c r="B1948" t="str">
        <f>"51.0902"</f>
        <v>51.0902</v>
      </c>
      <c r="C1948" t="s">
        <v>1471</v>
      </c>
    </row>
    <row r="1949" spans="1:3" x14ac:dyDescent="0.25">
      <c r="A1949" t="str">
        <f t="shared" si="50"/>
        <v>51</v>
      </c>
      <c r="B1949" t="str">
        <f>"51.0903"</f>
        <v>51.0903</v>
      </c>
      <c r="C1949" t="s">
        <v>1472</v>
      </c>
    </row>
    <row r="1950" spans="1:3" x14ac:dyDescent="0.25">
      <c r="A1950" t="str">
        <f t="shared" si="50"/>
        <v>51</v>
      </c>
      <c r="B1950" t="str">
        <f>"51.0904"</f>
        <v>51.0904</v>
      </c>
      <c r="C1950" t="s">
        <v>1473</v>
      </c>
    </row>
    <row r="1951" spans="1:3" x14ac:dyDescent="0.25">
      <c r="A1951" t="str">
        <f t="shared" si="50"/>
        <v>51</v>
      </c>
      <c r="B1951" t="str">
        <f>"51.0905"</f>
        <v>51.0905</v>
      </c>
      <c r="C1951" t="s">
        <v>1474</v>
      </c>
    </row>
    <row r="1952" spans="1:3" x14ac:dyDescent="0.25">
      <c r="A1952" t="str">
        <f t="shared" si="50"/>
        <v>51</v>
      </c>
      <c r="B1952" t="str">
        <f>"51.0906"</f>
        <v>51.0906</v>
      </c>
      <c r="C1952" t="s">
        <v>1475</v>
      </c>
    </row>
    <row r="1953" spans="1:3" x14ac:dyDescent="0.25">
      <c r="A1953" t="str">
        <f t="shared" si="50"/>
        <v>51</v>
      </c>
      <c r="B1953" t="str">
        <f>"51.0907"</f>
        <v>51.0907</v>
      </c>
      <c r="C1953" t="s">
        <v>1476</v>
      </c>
    </row>
    <row r="1954" spans="1:3" x14ac:dyDescent="0.25">
      <c r="A1954" t="str">
        <f t="shared" si="50"/>
        <v>51</v>
      </c>
      <c r="B1954" t="str">
        <f>"51.0908"</f>
        <v>51.0908</v>
      </c>
      <c r="C1954" t="s">
        <v>1477</v>
      </c>
    </row>
    <row r="1955" spans="1:3" x14ac:dyDescent="0.25">
      <c r="A1955" t="str">
        <f t="shared" si="50"/>
        <v>51</v>
      </c>
      <c r="B1955" t="str">
        <f>"51.0909"</f>
        <v>51.0909</v>
      </c>
      <c r="C1955" t="s">
        <v>1478</v>
      </c>
    </row>
    <row r="1956" spans="1:3" x14ac:dyDescent="0.25">
      <c r="A1956" t="str">
        <f t="shared" si="50"/>
        <v>51</v>
      </c>
      <c r="B1956" t="str">
        <f>"51.0910"</f>
        <v>51.0910</v>
      </c>
      <c r="C1956" t="s">
        <v>1479</v>
      </c>
    </row>
    <row r="1957" spans="1:3" x14ac:dyDescent="0.25">
      <c r="A1957" t="str">
        <f t="shared" si="50"/>
        <v>51</v>
      </c>
      <c r="B1957" t="str">
        <f>"51.0911"</f>
        <v>51.0911</v>
      </c>
      <c r="C1957" t="s">
        <v>1480</v>
      </c>
    </row>
    <row r="1958" spans="1:3" x14ac:dyDescent="0.25">
      <c r="A1958" t="str">
        <f t="shared" si="50"/>
        <v>51</v>
      </c>
      <c r="B1958" t="str">
        <f>"51.0912"</f>
        <v>51.0912</v>
      </c>
      <c r="C1958" t="s">
        <v>2123</v>
      </c>
    </row>
    <row r="1959" spans="1:3" x14ac:dyDescent="0.25">
      <c r="A1959" t="str">
        <f t="shared" si="50"/>
        <v>51</v>
      </c>
      <c r="B1959" t="str">
        <f>"51.0913"</f>
        <v>51.0913</v>
      </c>
      <c r="C1959" t="s">
        <v>1481</v>
      </c>
    </row>
    <row r="1960" spans="1:3" x14ac:dyDescent="0.25">
      <c r="A1960" t="str">
        <f t="shared" si="50"/>
        <v>51</v>
      </c>
      <c r="B1960" t="str">
        <f>"51.0914"</f>
        <v>51.0914</v>
      </c>
      <c r="C1960" t="s">
        <v>1482</v>
      </c>
    </row>
    <row r="1961" spans="1:3" x14ac:dyDescent="0.25">
      <c r="A1961" t="str">
        <f t="shared" si="50"/>
        <v>51</v>
      </c>
      <c r="B1961" t="str">
        <f>"51.0915"</f>
        <v>51.0915</v>
      </c>
      <c r="C1961" t="s">
        <v>1483</v>
      </c>
    </row>
    <row r="1962" spans="1:3" x14ac:dyDescent="0.25">
      <c r="A1962" t="str">
        <f t="shared" si="50"/>
        <v>51</v>
      </c>
      <c r="B1962" t="str">
        <f>"51.0916"</f>
        <v>51.0916</v>
      </c>
      <c r="C1962" t="s">
        <v>1484</v>
      </c>
    </row>
    <row r="1963" spans="1:3" x14ac:dyDescent="0.25">
      <c r="A1963" t="str">
        <f t="shared" si="50"/>
        <v>51</v>
      </c>
      <c r="B1963" t="str">
        <f>"51.0917"</f>
        <v>51.0917</v>
      </c>
      <c r="C1963" t="s">
        <v>1485</v>
      </c>
    </row>
    <row r="1964" spans="1:3" x14ac:dyDescent="0.25">
      <c r="A1964" t="str">
        <f t="shared" si="50"/>
        <v>51</v>
      </c>
      <c r="B1964" t="str">
        <f>"51.0918"</f>
        <v>51.0918</v>
      </c>
      <c r="C1964" t="s">
        <v>1486</v>
      </c>
    </row>
    <row r="1965" spans="1:3" x14ac:dyDescent="0.25">
      <c r="A1965" t="str">
        <f t="shared" si="50"/>
        <v>51</v>
      </c>
      <c r="B1965" t="str">
        <f>"51.0919"</f>
        <v>51.0919</v>
      </c>
      <c r="C1965" t="s">
        <v>2124</v>
      </c>
    </row>
    <row r="1966" spans="1:3" x14ac:dyDescent="0.25">
      <c r="A1966" t="str">
        <f t="shared" si="50"/>
        <v>51</v>
      </c>
      <c r="B1966" t="str">
        <f>"51.0920"</f>
        <v>51.0920</v>
      </c>
      <c r="C1966" t="s">
        <v>1487</v>
      </c>
    </row>
    <row r="1967" spans="1:3" x14ac:dyDescent="0.25">
      <c r="A1967" t="str">
        <f t="shared" si="50"/>
        <v>51</v>
      </c>
      <c r="B1967" t="str">
        <f>"51.0921"</f>
        <v>51.0921</v>
      </c>
      <c r="C1967" t="s">
        <v>2125</v>
      </c>
    </row>
    <row r="1968" spans="1:3" x14ac:dyDescent="0.25">
      <c r="A1968" t="str">
        <f t="shared" si="50"/>
        <v>51</v>
      </c>
      <c r="B1968" t="str">
        <f>"51.0922"</f>
        <v>51.0922</v>
      </c>
      <c r="C1968" t="s">
        <v>2126</v>
      </c>
    </row>
    <row r="1969" spans="1:3" x14ac:dyDescent="0.25">
      <c r="A1969" t="str">
        <f t="shared" si="50"/>
        <v>51</v>
      </c>
      <c r="B1969" t="str">
        <f>"51.0923"</f>
        <v>51.0923</v>
      </c>
      <c r="C1969" t="s">
        <v>2127</v>
      </c>
    </row>
    <row r="1970" spans="1:3" x14ac:dyDescent="0.25">
      <c r="A1970" t="str">
        <f t="shared" si="50"/>
        <v>51</v>
      </c>
      <c r="B1970" t="str">
        <f>"51.0924"</f>
        <v>51.0924</v>
      </c>
      <c r="C1970" t="s">
        <v>1797</v>
      </c>
    </row>
    <row r="1971" spans="1:3" x14ac:dyDescent="0.25">
      <c r="A1971" t="str">
        <f t="shared" si="50"/>
        <v>51</v>
      </c>
      <c r="B1971" t="str">
        <f>"51.0999"</f>
        <v>51.0999</v>
      </c>
      <c r="C1971" t="s">
        <v>1488</v>
      </c>
    </row>
    <row r="1972" spans="1:3" x14ac:dyDescent="0.25">
      <c r="A1972" t="str">
        <f t="shared" si="50"/>
        <v>51</v>
      </c>
      <c r="B1972" t="str">
        <f>"51.10"</f>
        <v>51.10</v>
      </c>
      <c r="C1972" t="s">
        <v>1489</v>
      </c>
    </row>
    <row r="1973" spans="1:3" x14ac:dyDescent="0.25">
      <c r="A1973" t="str">
        <f t="shared" si="50"/>
        <v>51</v>
      </c>
      <c r="B1973" t="str">
        <f>"51.1001"</f>
        <v>51.1001</v>
      </c>
      <c r="C1973" t="s">
        <v>1490</v>
      </c>
    </row>
    <row r="1974" spans="1:3" x14ac:dyDescent="0.25">
      <c r="A1974" t="str">
        <f t="shared" si="50"/>
        <v>51</v>
      </c>
      <c r="B1974" t="str">
        <f>"51.1002"</f>
        <v>51.1002</v>
      </c>
      <c r="C1974" t="s">
        <v>1491</v>
      </c>
    </row>
    <row r="1975" spans="1:3" x14ac:dyDescent="0.25">
      <c r="A1975" t="str">
        <f t="shared" si="50"/>
        <v>51</v>
      </c>
      <c r="B1975" t="str">
        <f>"51.1003"</f>
        <v>51.1003</v>
      </c>
      <c r="C1975" t="s">
        <v>1492</v>
      </c>
    </row>
    <row r="1976" spans="1:3" x14ac:dyDescent="0.25">
      <c r="A1976" t="str">
        <f t="shared" si="50"/>
        <v>51</v>
      </c>
      <c r="B1976" t="str">
        <f>"51.1004"</f>
        <v>51.1004</v>
      </c>
      <c r="C1976" t="s">
        <v>1493</v>
      </c>
    </row>
    <row r="1977" spans="1:3" x14ac:dyDescent="0.25">
      <c r="A1977" t="str">
        <f t="shared" si="50"/>
        <v>51</v>
      </c>
      <c r="B1977" t="str">
        <f>"51.1005"</f>
        <v>51.1005</v>
      </c>
      <c r="C1977" t="s">
        <v>1494</v>
      </c>
    </row>
    <row r="1978" spans="1:3" x14ac:dyDescent="0.25">
      <c r="A1978" t="str">
        <f t="shared" si="50"/>
        <v>51</v>
      </c>
      <c r="B1978" t="str">
        <f>"51.1006"</f>
        <v>51.1006</v>
      </c>
      <c r="C1978" t="s">
        <v>1495</v>
      </c>
    </row>
    <row r="1979" spans="1:3" x14ac:dyDescent="0.25">
      <c r="A1979" t="str">
        <f t="shared" si="50"/>
        <v>51</v>
      </c>
      <c r="B1979" t="str">
        <f>"51.1007"</f>
        <v>51.1007</v>
      </c>
      <c r="C1979" t="s">
        <v>1496</v>
      </c>
    </row>
    <row r="1980" spans="1:3" x14ac:dyDescent="0.25">
      <c r="A1980" t="str">
        <f t="shared" si="50"/>
        <v>51</v>
      </c>
      <c r="B1980" t="str">
        <f>"51.1008"</f>
        <v>51.1008</v>
      </c>
      <c r="C1980" t="s">
        <v>1497</v>
      </c>
    </row>
    <row r="1981" spans="1:3" x14ac:dyDescent="0.25">
      <c r="A1981" t="str">
        <f t="shared" si="50"/>
        <v>51</v>
      </c>
      <c r="B1981" t="str">
        <f>"51.1009"</f>
        <v>51.1009</v>
      </c>
      <c r="C1981" t="s">
        <v>1498</v>
      </c>
    </row>
    <row r="1982" spans="1:3" x14ac:dyDescent="0.25">
      <c r="A1982" t="str">
        <f t="shared" si="50"/>
        <v>51</v>
      </c>
      <c r="B1982" t="str">
        <f>"51.1010"</f>
        <v>51.1010</v>
      </c>
      <c r="C1982" t="s">
        <v>1499</v>
      </c>
    </row>
    <row r="1983" spans="1:3" x14ac:dyDescent="0.25">
      <c r="A1983" t="str">
        <f t="shared" si="50"/>
        <v>51</v>
      </c>
      <c r="B1983" t="str">
        <f>"51.1011"</f>
        <v>51.1011</v>
      </c>
      <c r="C1983" t="s">
        <v>1500</v>
      </c>
    </row>
    <row r="1984" spans="1:3" x14ac:dyDescent="0.25">
      <c r="A1984" t="str">
        <f t="shared" si="50"/>
        <v>51</v>
      </c>
      <c r="B1984" t="str">
        <f>"51.1012"</f>
        <v>51.1012</v>
      </c>
      <c r="C1984" t="s">
        <v>1501</v>
      </c>
    </row>
    <row r="1985" spans="1:3" x14ac:dyDescent="0.25">
      <c r="A1985" t="str">
        <f t="shared" si="50"/>
        <v>51</v>
      </c>
      <c r="B1985" t="str">
        <f>"51.1099"</f>
        <v>51.1099</v>
      </c>
      <c r="C1985" t="s">
        <v>1502</v>
      </c>
    </row>
    <row r="1986" spans="1:3" x14ac:dyDescent="0.25">
      <c r="A1986" t="str">
        <f t="shared" si="50"/>
        <v>51</v>
      </c>
      <c r="B1986" t="str">
        <f>"51.11"</f>
        <v>51.11</v>
      </c>
      <c r="C1986" t="s">
        <v>1503</v>
      </c>
    </row>
    <row r="1987" spans="1:3" x14ac:dyDescent="0.25">
      <c r="A1987" t="str">
        <f t="shared" si="50"/>
        <v>51</v>
      </c>
      <c r="B1987" t="str">
        <f>"51.1101"</f>
        <v>51.1101</v>
      </c>
      <c r="C1987" t="s">
        <v>1504</v>
      </c>
    </row>
    <row r="1988" spans="1:3" x14ac:dyDescent="0.25">
      <c r="A1988" t="str">
        <f t="shared" si="50"/>
        <v>51</v>
      </c>
      <c r="B1988" t="str">
        <f>"51.1102"</f>
        <v>51.1102</v>
      </c>
      <c r="C1988" t="s">
        <v>1505</v>
      </c>
    </row>
    <row r="1989" spans="1:3" x14ac:dyDescent="0.25">
      <c r="A1989" t="str">
        <f t="shared" si="50"/>
        <v>51</v>
      </c>
      <c r="B1989" t="str">
        <f>"51.1103"</f>
        <v>51.1103</v>
      </c>
      <c r="C1989" t="s">
        <v>1506</v>
      </c>
    </row>
    <row r="1990" spans="1:3" x14ac:dyDescent="0.25">
      <c r="A1990" t="str">
        <f t="shared" si="50"/>
        <v>51</v>
      </c>
      <c r="B1990" t="str">
        <f>"51.1104"</f>
        <v>51.1104</v>
      </c>
      <c r="C1990" t="s">
        <v>1507</v>
      </c>
    </row>
    <row r="1991" spans="1:3" x14ac:dyDescent="0.25">
      <c r="A1991" t="str">
        <f t="shared" si="50"/>
        <v>51</v>
      </c>
      <c r="B1991" t="str">
        <f>"51.1105"</f>
        <v>51.1105</v>
      </c>
      <c r="C1991" t="s">
        <v>1508</v>
      </c>
    </row>
    <row r="1992" spans="1:3" x14ac:dyDescent="0.25">
      <c r="A1992" t="str">
        <f t="shared" si="50"/>
        <v>51</v>
      </c>
      <c r="B1992" t="str">
        <f>"51.1106"</f>
        <v>51.1106</v>
      </c>
      <c r="C1992" t="s">
        <v>1509</v>
      </c>
    </row>
    <row r="1993" spans="1:3" x14ac:dyDescent="0.25">
      <c r="A1993" t="str">
        <f t="shared" si="50"/>
        <v>51</v>
      </c>
      <c r="B1993" t="str">
        <f>"51.1107"</f>
        <v>51.1107</v>
      </c>
      <c r="C1993" t="s">
        <v>1510</v>
      </c>
    </row>
    <row r="1994" spans="1:3" x14ac:dyDescent="0.25">
      <c r="A1994" t="str">
        <f t="shared" si="50"/>
        <v>51</v>
      </c>
      <c r="B1994" t="str">
        <f>"51.1108"</f>
        <v>51.1108</v>
      </c>
      <c r="C1994" t="s">
        <v>1511</v>
      </c>
    </row>
    <row r="1995" spans="1:3" x14ac:dyDescent="0.25">
      <c r="A1995" t="str">
        <f t="shared" si="50"/>
        <v>51</v>
      </c>
      <c r="B1995" t="str">
        <f>"51.1109"</f>
        <v>51.1109</v>
      </c>
      <c r="C1995" t="s">
        <v>1512</v>
      </c>
    </row>
    <row r="1996" spans="1:3" x14ac:dyDescent="0.25">
      <c r="A1996" t="str">
        <f t="shared" si="50"/>
        <v>51</v>
      </c>
      <c r="B1996" t="str">
        <f>"51.1110"</f>
        <v>51.1110</v>
      </c>
      <c r="C1996" t="s">
        <v>2128</v>
      </c>
    </row>
    <row r="1997" spans="1:3" x14ac:dyDescent="0.25">
      <c r="A1997" t="str">
        <f t="shared" si="50"/>
        <v>51</v>
      </c>
      <c r="B1997" t="str">
        <f>"51.1111"</f>
        <v>51.1111</v>
      </c>
      <c r="C1997" t="s">
        <v>2129</v>
      </c>
    </row>
    <row r="1998" spans="1:3" x14ac:dyDescent="0.25">
      <c r="A1998" t="str">
        <f t="shared" ref="A1998:A2061" si="51">"51"</f>
        <v>51</v>
      </c>
      <c r="B1998" t="str">
        <f>"51.1199"</f>
        <v>51.1199</v>
      </c>
      <c r="C1998" t="s">
        <v>1513</v>
      </c>
    </row>
    <row r="1999" spans="1:3" x14ac:dyDescent="0.25">
      <c r="A1999" t="str">
        <f t="shared" si="51"/>
        <v>51</v>
      </c>
      <c r="B1999" t="str">
        <f>"51.12"</f>
        <v>51.12</v>
      </c>
      <c r="C1999" t="s">
        <v>1514</v>
      </c>
    </row>
    <row r="2000" spans="1:3" x14ac:dyDescent="0.25">
      <c r="A2000" t="str">
        <f t="shared" si="51"/>
        <v>51</v>
      </c>
      <c r="B2000" t="str">
        <f>"51.1201"</f>
        <v>51.1201</v>
      </c>
      <c r="C2000" t="s">
        <v>1514</v>
      </c>
    </row>
    <row r="2001" spans="1:3" x14ac:dyDescent="0.25">
      <c r="A2001" t="str">
        <f t="shared" si="51"/>
        <v>51</v>
      </c>
      <c r="B2001" t="str">
        <f>"51.1202"</f>
        <v>51.1202</v>
      </c>
      <c r="C2001" t="s">
        <v>1545</v>
      </c>
    </row>
    <row r="2002" spans="1:3" x14ac:dyDescent="0.25">
      <c r="A2002" t="str">
        <f t="shared" si="51"/>
        <v>51</v>
      </c>
      <c r="B2002" t="str">
        <f>"51.1203"</f>
        <v>51.1203</v>
      </c>
      <c r="C2002" t="s">
        <v>1559</v>
      </c>
    </row>
    <row r="2003" spans="1:3" x14ac:dyDescent="0.25">
      <c r="A2003" t="str">
        <f t="shared" si="51"/>
        <v>51</v>
      </c>
      <c r="B2003" t="str">
        <f>"51.1299"</f>
        <v>51.1299</v>
      </c>
      <c r="C2003" t="s">
        <v>2130</v>
      </c>
    </row>
    <row r="2004" spans="1:3" x14ac:dyDescent="0.25">
      <c r="A2004" t="str">
        <f t="shared" si="51"/>
        <v>51</v>
      </c>
      <c r="B2004" t="str">
        <f>"51.14"</f>
        <v>51.14</v>
      </c>
      <c r="C2004" t="s">
        <v>1515</v>
      </c>
    </row>
    <row r="2005" spans="1:3" x14ac:dyDescent="0.25">
      <c r="A2005" t="str">
        <f t="shared" si="51"/>
        <v>51</v>
      </c>
      <c r="B2005" t="str">
        <f>"51.1401"</f>
        <v>51.1401</v>
      </c>
      <c r="C2005" t="s">
        <v>2131</v>
      </c>
    </row>
    <row r="2006" spans="1:3" x14ac:dyDescent="0.25">
      <c r="A2006" t="str">
        <f t="shared" si="51"/>
        <v>51</v>
      </c>
      <c r="B2006" t="str">
        <f>"51.1402"</f>
        <v>51.1402</v>
      </c>
      <c r="C2006" t="s">
        <v>2132</v>
      </c>
    </row>
    <row r="2007" spans="1:3" x14ac:dyDescent="0.25">
      <c r="A2007" t="str">
        <f t="shared" si="51"/>
        <v>51</v>
      </c>
      <c r="B2007" t="str">
        <f>"51.1403"</f>
        <v>51.1403</v>
      </c>
      <c r="C2007" t="s">
        <v>2133</v>
      </c>
    </row>
    <row r="2008" spans="1:3" x14ac:dyDescent="0.25">
      <c r="A2008" t="str">
        <f t="shared" si="51"/>
        <v>51</v>
      </c>
      <c r="B2008" t="str">
        <f>"51.1404"</f>
        <v>51.1404</v>
      </c>
      <c r="C2008" t="s">
        <v>2134</v>
      </c>
    </row>
    <row r="2009" spans="1:3" x14ac:dyDescent="0.25">
      <c r="A2009" t="str">
        <f t="shared" si="51"/>
        <v>51</v>
      </c>
      <c r="B2009" t="str">
        <f>"51.1405"</f>
        <v>51.1405</v>
      </c>
      <c r="C2009" t="s">
        <v>2135</v>
      </c>
    </row>
    <row r="2010" spans="1:3" x14ac:dyDescent="0.25">
      <c r="A2010" t="str">
        <f t="shared" si="51"/>
        <v>51</v>
      </c>
      <c r="B2010" t="str">
        <f>"51.1499"</f>
        <v>51.1499</v>
      </c>
      <c r="C2010" t="s">
        <v>2136</v>
      </c>
    </row>
    <row r="2011" spans="1:3" x14ac:dyDescent="0.25">
      <c r="A2011" t="str">
        <f t="shared" si="51"/>
        <v>51</v>
      </c>
      <c r="B2011" t="str">
        <f>"51.15"</f>
        <v>51.15</v>
      </c>
      <c r="C2011" t="s">
        <v>1516</v>
      </c>
    </row>
    <row r="2012" spans="1:3" x14ac:dyDescent="0.25">
      <c r="A2012" t="str">
        <f t="shared" si="51"/>
        <v>51</v>
      </c>
      <c r="B2012" t="str">
        <f>"51.1501"</f>
        <v>51.1501</v>
      </c>
      <c r="C2012" t="s">
        <v>1517</v>
      </c>
    </row>
    <row r="2013" spans="1:3" x14ac:dyDescent="0.25">
      <c r="A2013" t="str">
        <f t="shared" si="51"/>
        <v>51</v>
      </c>
      <c r="B2013" t="str">
        <f>"51.1502"</f>
        <v>51.1502</v>
      </c>
      <c r="C2013" t="s">
        <v>1518</v>
      </c>
    </row>
    <row r="2014" spans="1:3" x14ac:dyDescent="0.25">
      <c r="A2014" t="str">
        <f t="shared" si="51"/>
        <v>51</v>
      </c>
      <c r="B2014" t="str">
        <f>"51.1503"</f>
        <v>51.1503</v>
      </c>
      <c r="C2014" t="s">
        <v>1519</v>
      </c>
    </row>
    <row r="2015" spans="1:3" x14ac:dyDescent="0.25">
      <c r="A2015" t="str">
        <f t="shared" si="51"/>
        <v>51</v>
      </c>
      <c r="B2015" t="str">
        <f>"51.1504"</f>
        <v>51.1504</v>
      </c>
      <c r="C2015" t="s">
        <v>1520</v>
      </c>
    </row>
    <row r="2016" spans="1:3" x14ac:dyDescent="0.25">
      <c r="A2016" t="str">
        <f t="shared" si="51"/>
        <v>51</v>
      </c>
      <c r="B2016" t="str">
        <f>"51.1505"</f>
        <v>51.1505</v>
      </c>
      <c r="C2016" t="s">
        <v>1521</v>
      </c>
    </row>
    <row r="2017" spans="1:3" x14ac:dyDescent="0.25">
      <c r="A2017" t="str">
        <f t="shared" si="51"/>
        <v>51</v>
      </c>
      <c r="B2017" t="str">
        <f>"51.1506"</f>
        <v>51.1506</v>
      </c>
      <c r="C2017" t="s">
        <v>1522</v>
      </c>
    </row>
    <row r="2018" spans="1:3" x14ac:dyDescent="0.25">
      <c r="A2018" t="str">
        <f t="shared" si="51"/>
        <v>51</v>
      </c>
      <c r="B2018" t="str">
        <f>"51.1507"</f>
        <v>51.1507</v>
      </c>
      <c r="C2018" t="s">
        <v>1523</v>
      </c>
    </row>
    <row r="2019" spans="1:3" x14ac:dyDescent="0.25">
      <c r="A2019" t="str">
        <f t="shared" si="51"/>
        <v>51</v>
      </c>
      <c r="B2019" t="str">
        <f>"51.1508"</f>
        <v>51.1508</v>
      </c>
      <c r="C2019" t="s">
        <v>1524</v>
      </c>
    </row>
    <row r="2020" spans="1:3" x14ac:dyDescent="0.25">
      <c r="A2020" t="str">
        <f t="shared" si="51"/>
        <v>51</v>
      </c>
      <c r="B2020" t="str">
        <f>"51.1509"</f>
        <v>51.1509</v>
      </c>
      <c r="C2020" t="s">
        <v>1525</v>
      </c>
    </row>
    <row r="2021" spans="1:3" x14ac:dyDescent="0.25">
      <c r="A2021" t="str">
        <f t="shared" si="51"/>
        <v>51</v>
      </c>
      <c r="B2021" t="str">
        <f>"51.1510"</f>
        <v>51.1510</v>
      </c>
      <c r="C2021" t="s">
        <v>2137</v>
      </c>
    </row>
    <row r="2022" spans="1:3" x14ac:dyDescent="0.25">
      <c r="A2022" t="str">
        <f t="shared" si="51"/>
        <v>51</v>
      </c>
      <c r="B2022" t="str">
        <f>"51.1511"</f>
        <v>51.1511</v>
      </c>
      <c r="C2022" t="s">
        <v>2138</v>
      </c>
    </row>
    <row r="2023" spans="1:3" x14ac:dyDescent="0.25">
      <c r="A2023" t="str">
        <f t="shared" si="51"/>
        <v>51</v>
      </c>
      <c r="B2023" t="str">
        <f>"51.1512"</f>
        <v>51.1512</v>
      </c>
      <c r="C2023" t="s">
        <v>2139</v>
      </c>
    </row>
    <row r="2024" spans="1:3" x14ac:dyDescent="0.25">
      <c r="A2024" t="str">
        <f t="shared" si="51"/>
        <v>51</v>
      </c>
      <c r="B2024" t="str">
        <f>"51.1513"</f>
        <v>51.1513</v>
      </c>
      <c r="C2024" t="s">
        <v>2140</v>
      </c>
    </row>
    <row r="2025" spans="1:3" x14ac:dyDescent="0.25">
      <c r="A2025" t="str">
        <f t="shared" si="51"/>
        <v>51</v>
      </c>
      <c r="B2025" t="str">
        <f>"51.1580"</f>
        <v>51.1580</v>
      </c>
      <c r="C2025" t="s">
        <v>1797</v>
      </c>
    </row>
    <row r="2026" spans="1:3" x14ac:dyDescent="0.25">
      <c r="A2026" t="str">
        <f t="shared" si="51"/>
        <v>51</v>
      </c>
      <c r="B2026" t="str">
        <f>"51.1599"</f>
        <v>51.1599</v>
      </c>
      <c r="C2026" t="s">
        <v>1526</v>
      </c>
    </row>
    <row r="2027" spans="1:3" x14ac:dyDescent="0.25">
      <c r="A2027" t="str">
        <f t="shared" si="51"/>
        <v>51</v>
      </c>
      <c r="B2027" t="str">
        <f>"51.17"</f>
        <v>51.17</v>
      </c>
      <c r="C2027" t="s">
        <v>1538</v>
      </c>
    </row>
    <row r="2028" spans="1:3" x14ac:dyDescent="0.25">
      <c r="A2028" t="str">
        <f t="shared" si="51"/>
        <v>51</v>
      </c>
      <c r="B2028" t="str">
        <f>"51.1701"</f>
        <v>51.1701</v>
      </c>
      <c r="C2028" t="s">
        <v>1538</v>
      </c>
    </row>
    <row r="2029" spans="1:3" x14ac:dyDescent="0.25">
      <c r="A2029" t="str">
        <f t="shared" si="51"/>
        <v>51</v>
      </c>
      <c r="B2029" t="str">
        <f>"51.18"</f>
        <v>51.18</v>
      </c>
      <c r="C2029" t="s">
        <v>1539</v>
      </c>
    </row>
    <row r="2030" spans="1:3" x14ac:dyDescent="0.25">
      <c r="A2030" t="str">
        <f t="shared" si="51"/>
        <v>51</v>
      </c>
      <c r="B2030" t="str">
        <f>"51.1801"</f>
        <v>51.1801</v>
      </c>
      <c r="C2030" t="s">
        <v>1540</v>
      </c>
    </row>
    <row r="2031" spans="1:3" x14ac:dyDescent="0.25">
      <c r="A2031" t="str">
        <f t="shared" si="51"/>
        <v>51</v>
      </c>
      <c r="B2031" t="str">
        <f>"51.1802"</f>
        <v>51.1802</v>
      </c>
      <c r="C2031" t="s">
        <v>1541</v>
      </c>
    </row>
    <row r="2032" spans="1:3" x14ac:dyDescent="0.25">
      <c r="A2032" t="str">
        <f t="shared" si="51"/>
        <v>51</v>
      </c>
      <c r="B2032" t="str">
        <f>"51.1803"</f>
        <v>51.1803</v>
      </c>
      <c r="C2032" t="s">
        <v>1542</v>
      </c>
    </row>
    <row r="2033" spans="1:3" x14ac:dyDescent="0.25">
      <c r="A2033" t="str">
        <f t="shared" si="51"/>
        <v>51</v>
      </c>
      <c r="B2033" t="str">
        <f>"51.1804"</f>
        <v>51.1804</v>
      </c>
      <c r="C2033" t="s">
        <v>1543</v>
      </c>
    </row>
    <row r="2034" spans="1:3" x14ac:dyDescent="0.25">
      <c r="A2034" t="str">
        <f t="shared" si="51"/>
        <v>51</v>
      </c>
      <c r="B2034" t="str">
        <f>"51.1899"</f>
        <v>51.1899</v>
      </c>
      <c r="C2034" t="s">
        <v>1544</v>
      </c>
    </row>
    <row r="2035" spans="1:3" x14ac:dyDescent="0.25">
      <c r="A2035" t="str">
        <f t="shared" si="51"/>
        <v>51</v>
      </c>
      <c r="B2035" t="str">
        <f>"51.19"</f>
        <v>51.19</v>
      </c>
      <c r="C2035" t="s">
        <v>1545</v>
      </c>
    </row>
    <row r="2036" spans="1:3" x14ac:dyDescent="0.25">
      <c r="A2036" t="str">
        <f t="shared" si="51"/>
        <v>51</v>
      </c>
      <c r="B2036" t="str">
        <f>"51.1901"</f>
        <v>51.1901</v>
      </c>
      <c r="C2036" t="s">
        <v>1545</v>
      </c>
    </row>
    <row r="2037" spans="1:3" x14ac:dyDescent="0.25">
      <c r="A2037" t="str">
        <f t="shared" si="51"/>
        <v>51</v>
      </c>
      <c r="B2037" t="str">
        <f>"51.20"</f>
        <v>51.20</v>
      </c>
      <c r="C2037" t="s">
        <v>1546</v>
      </c>
    </row>
    <row r="2038" spans="1:3" x14ac:dyDescent="0.25">
      <c r="A2038" t="str">
        <f t="shared" si="51"/>
        <v>51</v>
      </c>
      <c r="B2038" t="str">
        <f>"51.2001"</f>
        <v>51.2001</v>
      </c>
      <c r="C2038" t="s">
        <v>1547</v>
      </c>
    </row>
    <row r="2039" spans="1:3" x14ac:dyDescent="0.25">
      <c r="A2039" t="str">
        <f t="shared" si="51"/>
        <v>51</v>
      </c>
      <c r="B2039" t="str">
        <f>"51.2002"</f>
        <v>51.2002</v>
      </c>
      <c r="C2039" t="s">
        <v>1548</v>
      </c>
    </row>
    <row r="2040" spans="1:3" x14ac:dyDescent="0.25">
      <c r="A2040" t="str">
        <f t="shared" si="51"/>
        <v>51</v>
      </c>
      <c r="B2040" t="str">
        <f>"51.2003"</f>
        <v>51.2003</v>
      </c>
      <c r="C2040" t="s">
        <v>1549</v>
      </c>
    </row>
    <row r="2041" spans="1:3" x14ac:dyDescent="0.25">
      <c r="A2041" t="str">
        <f t="shared" si="51"/>
        <v>51</v>
      </c>
      <c r="B2041" t="str">
        <f>"51.2004"</f>
        <v>51.2004</v>
      </c>
      <c r="C2041" t="s">
        <v>1550</v>
      </c>
    </row>
    <row r="2042" spans="1:3" x14ac:dyDescent="0.25">
      <c r="A2042" t="str">
        <f t="shared" si="51"/>
        <v>51</v>
      </c>
      <c r="B2042" t="str">
        <f>"51.2005"</f>
        <v>51.2005</v>
      </c>
      <c r="C2042" t="s">
        <v>1551</v>
      </c>
    </row>
    <row r="2043" spans="1:3" x14ac:dyDescent="0.25">
      <c r="A2043" t="str">
        <f t="shared" si="51"/>
        <v>51</v>
      </c>
      <c r="B2043" t="str">
        <f>"51.2006"</f>
        <v>51.2006</v>
      </c>
      <c r="C2043" t="s">
        <v>1552</v>
      </c>
    </row>
    <row r="2044" spans="1:3" x14ac:dyDescent="0.25">
      <c r="A2044" t="str">
        <f t="shared" si="51"/>
        <v>51</v>
      </c>
      <c r="B2044" t="str">
        <f>"51.2007"</f>
        <v>51.2007</v>
      </c>
      <c r="C2044" t="s">
        <v>1553</v>
      </c>
    </row>
    <row r="2045" spans="1:3" x14ac:dyDescent="0.25">
      <c r="A2045" t="str">
        <f t="shared" si="51"/>
        <v>51</v>
      </c>
      <c r="B2045" t="str">
        <f>"51.2008"</f>
        <v>51.2008</v>
      </c>
      <c r="C2045" t="s">
        <v>1554</v>
      </c>
    </row>
    <row r="2046" spans="1:3" x14ac:dyDescent="0.25">
      <c r="A2046" t="str">
        <f t="shared" si="51"/>
        <v>51</v>
      </c>
      <c r="B2046" t="str">
        <f>"51.2009"</f>
        <v>51.2009</v>
      </c>
      <c r="C2046" t="s">
        <v>1555</v>
      </c>
    </row>
    <row r="2047" spans="1:3" x14ac:dyDescent="0.25">
      <c r="A2047" t="str">
        <f t="shared" si="51"/>
        <v>51</v>
      </c>
      <c r="B2047" t="str">
        <f>"51.2010"</f>
        <v>51.2010</v>
      </c>
      <c r="C2047" t="s">
        <v>1556</v>
      </c>
    </row>
    <row r="2048" spans="1:3" x14ac:dyDescent="0.25">
      <c r="A2048" t="str">
        <f t="shared" si="51"/>
        <v>51</v>
      </c>
      <c r="B2048" t="str">
        <f>"51.2011"</f>
        <v>51.2011</v>
      </c>
      <c r="C2048" t="s">
        <v>1557</v>
      </c>
    </row>
    <row r="2049" spans="1:3" x14ac:dyDescent="0.25">
      <c r="A2049" t="str">
        <f t="shared" si="51"/>
        <v>51</v>
      </c>
      <c r="B2049" t="str">
        <f>"51.2099"</f>
        <v>51.2099</v>
      </c>
      <c r="C2049" t="s">
        <v>1558</v>
      </c>
    </row>
    <row r="2050" spans="1:3" x14ac:dyDescent="0.25">
      <c r="A2050" t="str">
        <f t="shared" si="51"/>
        <v>51</v>
      </c>
      <c r="B2050" t="str">
        <f>"51.21"</f>
        <v>51.21</v>
      </c>
      <c r="C2050" t="s">
        <v>1559</v>
      </c>
    </row>
    <row r="2051" spans="1:3" x14ac:dyDescent="0.25">
      <c r="A2051" t="str">
        <f t="shared" si="51"/>
        <v>51</v>
      </c>
      <c r="B2051" t="str">
        <f>"51.2101"</f>
        <v>51.2101</v>
      </c>
      <c r="C2051" t="s">
        <v>1559</v>
      </c>
    </row>
    <row r="2052" spans="1:3" x14ac:dyDescent="0.25">
      <c r="A2052" t="str">
        <f t="shared" si="51"/>
        <v>51</v>
      </c>
      <c r="B2052" t="str">
        <f>"51.22"</f>
        <v>51.22</v>
      </c>
      <c r="C2052" t="s">
        <v>1560</v>
      </c>
    </row>
    <row r="2053" spans="1:3" x14ac:dyDescent="0.25">
      <c r="A2053" t="str">
        <f t="shared" si="51"/>
        <v>51</v>
      </c>
      <c r="B2053" t="str">
        <f>"51.2201"</f>
        <v>51.2201</v>
      </c>
      <c r="C2053" t="s">
        <v>1561</v>
      </c>
    </row>
    <row r="2054" spans="1:3" x14ac:dyDescent="0.25">
      <c r="A2054" t="str">
        <f t="shared" si="51"/>
        <v>51</v>
      </c>
      <c r="B2054" t="str">
        <f>"51.2202"</f>
        <v>51.2202</v>
      </c>
      <c r="C2054" t="s">
        <v>1562</v>
      </c>
    </row>
    <row r="2055" spans="1:3" x14ac:dyDescent="0.25">
      <c r="A2055" t="str">
        <f t="shared" si="51"/>
        <v>51</v>
      </c>
      <c r="B2055" t="str">
        <f>"51.2205"</f>
        <v>51.2205</v>
      </c>
      <c r="C2055" t="s">
        <v>1563</v>
      </c>
    </row>
    <row r="2056" spans="1:3" x14ac:dyDescent="0.25">
      <c r="A2056" t="str">
        <f t="shared" si="51"/>
        <v>51</v>
      </c>
      <c r="B2056" t="str">
        <f>"51.2206"</f>
        <v>51.2206</v>
      </c>
      <c r="C2056" t="s">
        <v>1564</v>
      </c>
    </row>
    <row r="2057" spans="1:3" x14ac:dyDescent="0.25">
      <c r="A2057" t="str">
        <f t="shared" si="51"/>
        <v>51</v>
      </c>
      <c r="B2057" t="str">
        <f>"51.2207"</f>
        <v>51.2207</v>
      </c>
      <c r="C2057" t="s">
        <v>1565</v>
      </c>
    </row>
    <row r="2058" spans="1:3" x14ac:dyDescent="0.25">
      <c r="A2058" t="str">
        <f t="shared" si="51"/>
        <v>51</v>
      </c>
      <c r="B2058" t="str">
        <f>"51.2208"</f>
        <v>51.2208</v>
      </c>
      <c r="C2058" t="s">
        <v>1566</v>
      </c>
    </row>
    <row r="2059" spans="1:3" x14ac:dyDescent="0.25">
      <c r="A2059" t="str">
        <f t="shared" si="51"/>
        <v>51</v>
      </c>
      <c r="B2059" t="str">
        <f>"51.2209"</f>
        <v>51.2209</v>
      </c>
      <c r="C2059" t="s">
        <v>1567</v>
      </c>
    </row>
    <row r="2060" spans="1:3" x14ac:dyDescent="0.25">
      <c r="A2060" t="str">
        <f t="shared" si="51"/>
        <v>51</v>
      </c>
      <c r="B2060" t="str">
        <f>"51.2210"</f>
        <v>51.2210</v>
      </c>
      <c r="C2060" t="s">
        <v>1568</v>
      </c>
    </row>
    <row r="2061" spans="1:3" x14ac:dyDescent="0.25">
      <c r="A2061" t="str">
        <f t="shared" si="51"/>
        <v>51</v>
      </c>
      <c r="B2061" t="str">
        <f>"51.2211"</f>
        <v>51.2211</v>
      </c>
      <c r="C2061" t="s">
        <v>1569</v>
      </c>
    </row>
    <row r="2062" spans="1:3" x14ac:dyDescent="0.25">
      <c r="A2062" t="str">
        <f t="shared" ref="A2062:A2125" si="52">"51"</f>
        <v>51</v>
      </c>
      <c r="B2062" t="str">
        <f>"51.2212"</f>
        <v>51.2212</v>
      </c>
      <c r="C2062" t="s">
        <v>1570</v>
      </c>
    </row>
    <row r="2063" spans="1:3" x14ac:dyDescent="0.25">
      <c r="A2063" t="str">
        <f t="shared" si="52"/>
        <v>51</v>
      </c>
      <c r="B2063" t="str">
        <f>"51.2213"</f>
        <v>51.2213</v>
      </c>
      <c r="C2063" t="s">
        <v>2141</v>
      </c>
    </row>
    <row r="2064" spans="1:3" x14ac:dyDescent="0.25">
      <c r="A2064" t="str">
        <f t="shared" si="52"/>
        <v>51</v>
      </c>
      <c r="B2064" t="str">
        <f>"51.2214"</f>
        <v>51.2214</v>
      </c>
      <c r="C2064" t="s">
        <v>2142</v>
      </c>
    </row>
    <row r="2065" spans="1:3" x14ac:dyDescent="0.25">
      <c r="A2065" t="str">
        <f t="shared" si="52"/>
        <v>51</v>
      </c>
      <c r="B2065" t="str">
        <f>"51.2280"</f>
        <v>51.2280</v>
      </c>
      <c r="C2065" t="s">
        <v>1797</v>
      </c>
    </row>
    <row r="2066" spans="1:3" x14ac:dyDescent="0.25">
      <c r="A2066" t="str">
        <f t="shared" si="52"/>
        <v>51</v>
      </c>
      <c r="B2066" t="str">
        <f>"51.2299"</f>
        <v>51.2299</v>
      </c>
      <c r="C2066" t="s">
        <v>1571</v>
      </c>
    </row>
    <row r="2067" spans="1:3" x14ac:dyDescent="0.25">
      <c r="A2067" t="str">
        <f t="shared" si="52"/>
        <v>51</v>
      </c>
      <c r="B2067" t="str">
        <f>"51.23"</f>
        <v>51.23</v>
      </c>
      <c r="C2067" t="s">
        <v>1572</v>
      </c>
    </row>
    <row r="2068" spans="1:3" x14ac:dyDescent="0.25">
      <c r="A2068" t="str">
        <f t="shared" si="52"/>
        <v>51</v>
      </c>
      <c r="B2068" t="str">
        <f>"51.2300"</f>
        <v>51.2300</v>
      </c>
      <c r="C2068" t="s">
        <v>2143</v>
      </c>
    </row>
    <row r="2069" spans="1:3" x14ac:dyDescent="0.25">
      <c r="A2069" t="str">
        <f t="shared" si="52"/>
        <v>51</v>
      </c>
      <c r="B2069" t="str">
        <f>"51.2301"</f>
        <v>51.2301</v>
      </c>
      <c r="C2069" t="s">
        <v>1573</v>
      </c>
    </row>
    <row r="2070" spans="1:3" x14ac:dyDescent="0.25">
      <c r="A2070" t="str">
        <f t="shared" si="52"/>
        <v>51</v>
      </c>
      <c r="B2070" t="str">
        <f>"51.2302"</f>
        <v>51.2302</v>
      </c>
      <c r="C2070" t="s">
        <v>1574</v>
      </c>
    </row>
    <row r="2071" spans="1:3" x14ac:dyDescent="0.25">
      <c r="A2071" t="str">
        <f t="shared" si="52"/>
        <v>51</v>
      </c>
      <c r="B2071" t="str">
        <f>"51.2305"</f>
        <v>51.2305</v>
      </c>
      <c r="C2071" t="s">
        <v>1575</v>
      </c>
    </row>
    <row r="2072" spans="1:3" x14ac:dyDescent="0.25">
      <c r="A2072" t="str">
        <f t="shared" si="52"/>
        <v>51</v>
      </c>
      <c r="B2072" t="str">
        <f>"51.2306"</f>
        <v>51.2306</v>
      </c>
      <c r="C2072" t="s">
        <v>1576</v>
      </c>
    </row>
    <row r="2073" spans="1:3" x14ac:dyDescent="0.25">
      <c r="A2073" t="str">
        <f t="shared" si="52"/>
        <v>51</v>
      </c>
      <c r="B2073" t="str">
        <f>"51.2307"</f>
        <v>51.2307</v>
      </c>
      <c r="C2073" t="s">
        <v>1577</v>
      </c>
    </row>
    <row r="2074" spans="1:3" x14ac:dyDescent="0.25">
      <c r="A2074" t="str">
        <f t="shared" si="52"/>
        <v>51</v>
      </c>
      <c r="B2074" t="str">
        <f>"51.2308"</f>
        <v>51.2308</v>
      </c>
      <c r="C2074" t="s">
        <v>1578</v>
      </c>
    </row>
    <row r="2075" spans="1:3" x14ac:dyDescent="0.25">
      <c r="A2075" t="str">
        <f t="shared" si="52"/>
        <v>51</v>
      </c>
      <c r="B2075" t="str">
        <f>"51.2309"</f>
        <v>51.2309</v>
      </c>
      <c r="C2075" t="s">
        <v>1579</v>
      </c>
    </row>
    <row r="2076" spans="1:3" x14ac:dyDescent="0.25">
      <c r="A2076" t="str">
        <f t="shared" si="52"/>
        <v>51</v>
      </c>
      <c r="B2076" t="str">
        <f>"51.2310"</f>
        <v>51.2310</v>
      </c>
      <c r="C2076" t="s">
        <v>1580</v>
      </c>
    </row>
    <row r="2077" spans="1:3" x14ac:dyDescent="0.25">
      <c r="A2077" t="str">
        <f t="shared" si="52"/>
        <v>51</v>
      </c>
      <c r="B2077" t="str">
        <f>"51.2311"</f>
        <v>51.2311</v>
      </c>
      <c r="C2077" t="s">
        <v>1581</v>
      </c>
    </row>
    <row r="2078" spans="1:3" x14ac:dyDescent="0.25">
      <c r="A2078" t="str">
        <f t="shared" si="52"/>
        <v>51</v>
      </c>
      <c r="B2078" t="str">
        <f>"51.2312"</f>
        <v>51.2312</v>
      </c>
      <c r="C2078" t="s">
        <v>1582</v>
      </c>
    </row>
    <row r="2079" spans="1:3" x14ac:dyDescent="0.25">
      <c r="A2079" t="str">
        <f t="shared" si="52"/>
        <v>51</v>
      </c>
      <c r="B2079" t="str">
        <f>"51.2313"</f>
        <v>51.2313</v>
      </c>
      <c r="C2079" t="s">
        <v>1583</v>
      </c>
    </row>
    <row r="2080" spans="1:3" x14ac:dyDescent="0.25">
      <c r="A2080" t="str">
        <f t="shared" si="52"/>
        <v>51</v>
      </c>
      <c r="B2080" t="str">
        <f>"51.2314"</f>
        <v>51.2314</v>
      </c>
      <c r="C2080" t="s">
        <v>1584</v>
      </c>
    </row>
    <row r="2081" spans="1:3" x14ac:dyDescent="0.25">
      <c r="A2081" t="str">
        <f t="shared" si="52"/>
        <v>51</v>
      </c>
      <c r="B2081" t="str">
        <f>"51.2315"</f>
        <v>51.2315</v>
      </c>
      <c r="C2081" t="s">
        <v>2144</v>
      </c>
    </row>
    <row r="2082" spans="1:3" x14ac:dyDescent="0.25">
      <c r="A2082" t="str">
        <f t="shared" si="52"/>
        <v>51</v>
      </c>
      <c r="B2082" t="str">
        <f>"51.2316"</f>
        <v>51.2316</v>
      </c>
      <c r="C2082" t="s">
        <v>2145</v>
      </c>
    </row>
    <row r="2083" spans="1:3" x14ac:dyDescent="0.25">
      <c r="A2083" t="str">
        <f t="shared" si="52"/>
        <v>51</v>
      </c>
      <c r="B2083" t="str">
        <f>"51.2317"</f>
        <v>51.2317</v>
      </c>
      <c r="C2083" t="s">
        <v>2146</v>
      </c>
    </row>
    <row r="2084" spans="1:3" x14ac:dyDescent="0.25">
      <c r="A2084" t="str">
        <f t="shared" si="52"/>
        <v>51</v>
      </c>
      <c r="B2084" t="str">
        <f>"51.2399"</f>
        <v>51.2399</v>
      </c>
      <c r="C2084" t="s">
        <v>1585</v>
      </c>
    </row>
    <row r="2085" spans="1:3" x14ac:dyDescent="0.25">
      <c r="A2085" t="str">
        <f t="shared" si="52"/>
        <v>51</v>
      </c>
      <c r="B2085" t="str">
        <f>"51.24"</f>
        <v>51.24</v>
      </c>
      <c r="C2085" t="s">
        <v>1586</v>
      </c>
    </row>
    <row r="2086" spans="1:3" x14ac:dyDescent="0.25">
      <c r="A2086" t="str">
        <f t="shared" si="52"/>
        <v>51</v>
      </c>
      <c r="B2086" t="str">
        <f>"51.2401"</f>
        <v>51.2401</v>
      </c>
      <c r="C2086" t="s">
        <v>1586</v>
      </c>
    </row>
    <row r="2087" spans="1:3" x14ac:dyDescent="0.25">
      <c r="A2087" t="str">
        <f t="shared" si="52"/>
        <v>51</v>
      </c>
      <c r="B2087" t="str">
        <f>"51.25"</f>
        <v>51.25</v>
      </c>
      <c r="C2087" t="s">
        <v>1587</v>
      </c>
    </row>
    <row r="2088" spans="1:3" x14ac:dyDescent="0.25">
      <c r="A2088" t="str">
        <f t="shared" si="52"/>
        <v>51</v>
      </c>
      <c r="B2088" t="str">
        <f>"51.2501"</f>
        <v>51.2501</v>
      </c>
      <c r="C2088" t="s">
        <v>1588</v>
      </c>
    </row>
    <row r="2089" spans="1:3" x14ac:dyDescent="0.25">
      <c r="A2089" t="str">
        <f t="shared" si="52"/>
        <v>51</v>
      </c>
      <c r="B2089" t="str">
        <f>"51.2502"</f>
        <v>51.2502</v>
      </c>
      <c r="C2089" t="s">
        <v>1589</v>
      </c>
    </row>
    <row r="2090" spans="1:3" x14ac:dyDescent="0.25">
      <c r="A2090" t="str">
        <f t="shared" si="52"/>
        <v>51</v>
      </c>
      <c r="B2090" t="str">
        <f>"51.2503"</f>
        <v>51.2503</v>
      </c>
      <c r="C2090" t="s">
        <v>1590</v>
      </c>
    </row>
    <row r="2091" spans="1:3" x14ac:dyDescent="0.25">
      <c r="A2091" t="str">
        <f t="shared" si="52"/>
        <v>51</v>
      </c>
      <c r="B2091" t="str">
        <f>"51.2504"</f>
        <v>51.2504</v>
      </c>
      <c r="C2091" t="s">
        <v>1591</v>
      </c>
    </row>
    <row r="2092" spans="1:3" x14ac:dyDescent="0.25">
      <c r="A2092" t="str">
        <f t="shared" si="52"/>
        <v>51</v>
      </c>
      <c r="B2092" t="str">
        <f>"51.2505"</f>
        <v>51.2505</v>
      </c>
      <c r="C2092" t="s">
        <v>1592</v>
      </c>
    </row>
    <row r="2093" spans="1:3" x14ac:dyDescent="0.25">
      <c r="A2093" t="str">
        <f t="shared" si="52"/>
        <v>51</v>
      </c>
      <c r="B2093" t="str">
        <f>"51.2506"</f>
        <v>51.2506</v>
      </c>
      <c r="C2093" t="s">
        <v>1593</v>
      </c>
    </row>
    <row r="2094" spans="1:3" x14ac:dyDescent="0.25">
      <c r="A2094" t="str">
        <f t="shared" si="52"/>
        <v>51</v>
      </c>
      <c r="B2094" t="str">
        <f>"51.2507"</f>
        <v>51.2507</v>
      </c>
      <c r="C2094" t="s">
        <v>1594</v>
      </c>
    </row>
    <row r="2095" spans="1:3" x14ac:dyDescent="0.25">
      <c r="A2095" t="str">
        <f t="shared" si="52"/>
        <v>51</v>
      </c>
      <c r="B2095" t="str">
        <f>"51.2508"</f>
        <v>51.2508</v>
      </c>
      <c r="C2095" t="s">
        <v>1595</v>
      </c>
    </row>
    <row r="2096" spans="1:3" x14ac:dyDescent="0.25">
      <c r="A2096" t="str">
        <f t="shared" si="52"/>
        <v>51</v>
      </c>
      <c r="B2096" t="str">
        <f>"51.2509"</f>
        <v>51.2509</v>
      </c>
      <c r="C2096" t="s">
        <v>1596</v>
      </c>
    </row>
    <row r="2097" spans="1:3" x14ac:dyDescent="0.25">
      <c r="A2097" t="str">
        <f t="shared" si="52"/>
        <v>51</v>
      </c>
      <c r="B2097" t="str">
        <f>"51.2510"</f>
        <v>51.2510</v>
      </c>
      <c r="C2097" t="s">
        <v>1597</v>
      </c>
    </row>
    <row r="2098" spans="1:3" x14ac:dyDescent="0.25">
      <c r="A2098" t="str">
        <f t="shared" si="52"/>
        <v>51</v>
      </c>
      <c r="B2098" t="str">
        <f>"51.2511"</f>
        <v>51.2511</v>
      </c>
      <c r="C2098" t="s">
        <v>1598</v>
      </c>
    </row>
    <row r="2099" spans="1:3" x14ac:dyDescent="0.25">
      <c r="A2099" t="str">
        <f t="shared" si="52"/>
        <v>51</v>
      </c>
      <c r="B2099" t="str">
        <f>"51.2599"</f>
        <v>51.2599</v>
      </c>
      <c r="C2099" t="s">
        <v>1599</v>
      </c>
    </row>
    <row r="2100" spans="1:3" x14ac:dyDescent="0.25">
      <c r="A2100" t="str">
        <f t="shared" si="52"/>
        <v>51</v>
      </c>
      <c r="B2100" t="str">
        <f>"51.26"</f>
        <v>51.26</v>
      </c>
      <c r="C2100" t="s">
        <v>1600</v>
      </c>
    </row>
    <row r="2101" spans="1:3" x14ac:dyDescent="0.25">
      <c r="A2101" t="str">
        <f t="shared" si="52"/>
        <v>51</v>
      </c>
      <c r="B2101" t="str">
        <f>"51.2601"</f>
        <v>51.2601</v>
      </c>
      <c r="C2101" t="s">
        <v>1601</v>
      </c>
    </row>
    <row r="2102" spans="1:3" x14ac:dyDescent="0.25">
      <c r="A2102" t="str">
        <f t="shared" si="52"/>
        <v>51</v>
      </c>
      <c r="B2102" t="str">
        <f>"51.2602"</f>
        <v>51.2602</v>
      </c>
      <c r="C2102" t="s">
        <v>1602</v>
      </c>
    </row>
    <row r="2103" spans="1:3" x14ac:dyDescent="0.25">
      <c r="A2103" t="str">
        <f t="shared" si="52"/>
        <v>51</v>
      </c>
      <c r="B2103" t="str">
        <f>"51.2603"</f>
        <v>51.2603</v>
      </c>
      <c r="C2103" t="s">
        <v>1603</v>
      </c>
    </row>
    <row r="2104" spans="1:3" x14ac:dyDescent="0.25">
      <c r="A2104" t="str">
        <f t="shared" si="52"/>
        <v>51</v>
      </c>
      <c r="B2104" t="str">
        <f>"51.2604"</f>
        <v>51.2604</v>
      </c>
      <c r="C2104" t="s">
        <v>1604</v>
      </c>
    </row>
    <row r="2105" spans="1:3" x14ac:dyDescent="0.25">
      <c r="A2105" t="str">
        <f t="shared" si="52"/>
        <v>51</v>
      </c>
      <c r="B2105" t="str">
        <f>"51.2605"</f>
        <v>51.2605</v>
      </c>
      <c r="C2105" t="s">
        <v>2147</v>
      </c>
    </row>
    <row r="2106" spans="1:3" x14ac:dyDescent="0.25">
      <c r="A2106" t="str">
        <f t="shared" si="52"/>
        <v>51</v>
      </c>
      <c r="B2106" t="str">
        <f>"51.2699"</f>
        <v>51.2699</v>
      </c>
      <c r="C2106" t="s">
        <v>1605</v>
      </c>
    </row>
    <row r="2107" spans="1:3" x14ac:dyDescent="0.25">
      <c r="A2107" t="str">
        <f t="shared" si="52"/>
        <v>51</v>
      </c>
      <c r="B2107" t="str">
        <f>"51.27"</f>
        <v>51.27</v>
      </c>
      <c r="C2107" t="s">
        <v>1606</v>
      </c>
    </row>
    <row r="2108" spans="1:3" x14ac:dyDescent="0.25">
      <c r="A2108" t="str">
        <f t="shared" si="52"/>
        <v>51</v>
      </c>
      <c r="B2108" t="str">
        <f>"51.2703"</f>
        <v>51.2703</v>
      </c>
      <c r="C2108" t="s">
        <v>1607</v>
      </c>
    </row>
    <row r="2109" spans="1:3" x14ac:dyDescent="0.25">
      <c r="A2109" t="str">
        <f t="shared" si="52"/>
        <v>51</v>
      </c>
      <c r="B2109" t="str">
        <f>"51.2706"</f>
        <v>51.2706</v>
      </c>
      <c r="C2109" t="s">
        <v>1608</v>
      </c>
    </row>
    <row r="2110" spans="1:3" x14ac:dyDescent="0.25">
      <c r="A2110" t="str">
        <f t="shared" si="52"/>
        <v>51</v>
      </c>
      <c r="B2110" t="str">
        <f>"51.2799"</f>
        <v>51.2799</v>
      </c>
      <c r="C2110" t="s">
        <v>1609</v>
      </c>
    </row>
    <row r="2111" spans="1:3" x14ac:dyDescent="0.25">
      <c r="A2111" t="str">
        <f t="shared" si="52"/>
        <v>51</v>
      </c>
      <c r="B2111" t="str">
        <f>"51.31"</f>
        <v>51.31</v>
      </c>
      <c r="C2111" t="s">
        <v>1610</v>
      </c>
    </row>
    <row r="2112" spans="1:3" x14ac:dyDescent="0.25">
      <c r="A2112" t="str">
        <f t="shared" si="52"/>
        <v>51</v>
      </c>
      <c r="B2112" t="str">
        <f>"51.3101"</f>
        <v>51.3101</v>
      </c>
      <c r="C2112" t="s">
        <v>1611</v>
      </c>
    </row>
    <row r="2113" spans="1:3" x14ac:dyDescent="0.25">
      <c r="A2113" t="str">
        <f t="shared" si="52"/>
        <v>51</v>
      </c>
      <c r="B2113" t="str">
        <f>"51.3102"</f>
        <v>51.3102</v>
      </c>
      <c r="C2113" t="s">
        <v>1612</v>
      </c>
    </row>
    <row r="2114" spans="1:3" x14ac:dyDescent="0.25">
      <c r="A2114" t="str">
        <f t="shared" si="52"/>
        <v>51</v>
      </c>
      <c r="B2114" t="str">
        <f>"51.3103"</f>
        <v>51.3103</v>
      </c>
      <c r="C2114" t="s">
        <v>1613</v>
      </c>
    </row>
    <row r="2115" spans="1:3" x14ac:dyDescent="0.25">
      <c r="A2115" t="str">
        <f t="shared" si="52"/>
        <v>51</v>
      </c>
      <c r="B2115" t="str">
        <f>"51.3104"</f>
        <v>51.3104</v>
      </c>
      <c r="C2115" t="s">
        <v>1614</v>
      </c>
    </row>
    <row r="2116" spans="1:3" x14ac:dyDescent="0.25">
      <c r="A2116" t="str">
        <f t="shared" si="52"/>
        <v>51</v>
      </c>
      <c r="B2116" t="str">
        <f>"51.3199"</f>
        <v>51.3199</v>
      </c>
      <c r="C2116" t="s">
        <v>1615</v>
      </c>
    </row>
    <row r="2117" spans="1:3" x14ac:dyDescent="0.25">
      <c r="A2117" t="str">
        <f t="shared" si="52"/>
        <v>51</v>
      </c>
      <c r="B2117" t="str">
        <f>"51.32"</f>
        <v>51.32</v>
      </c>
      <c r="C2117" t="s">
        <v>2148</v>
      </c>
    </row>
    <row r="2118" spans="1:3" x14ac:dyDescent="0.25">
      <c r="A2118" t="str">
        <f t="shared" si="52"/>
        <v>51</v>
      </c>
      <c r="B2118" t="str">
        <f>"51.3201"</f>
        <v>51.3201</v>
      </c>
      <c r="C2118" t="s">
        <v>1616</v>
      </c>
    </row>
    <row r="2119" spans="1:3" x14ac:dyDescent="0.25">
      <c r="A2119" t="str">
        <f t="shared" si="52"/>
        <v>51</v>
      </c>
      <c r="B2119" t="str">
        <f>"51.3202"</f>
        <v>51.3202</v>
      </c>
      <c r="C2119" t="s">
        <v>2149</v>
      </c>
    </row>
    <row r="2120" spans="1:3" x14ac:dyDescent="0.25">
      <c r="A2120" t="str">
        <f t="shared" si="52"/>
        <v>51</v>
      </c>
      <c r="B2120" t="str">
        <f>"51.3203"</f>
        <v>51.3203</v>
      </c>
      <c r="C2120" t="s">
        <v>1650</v>
      </c>
    </row>
    <row r="2121" spans="1:3" x14ac:dyDescent="0.25">
      <c r="A2121" t="str">
        <f t="shared" si="52"/>
        <v>51</v>
      </c>
      <c r="B2121" t="str">
        <f>"51.3204"</f>
        <v>51.3204</v>
      </c>
      <c r="C2121" t="s">
        <v>2150</v>
      </c>
    </row>
    <row r="2122" spans="1:3" x14ac:dyDescent="0.25">
      <c r="A2122" t="str">
        <f t="shared" si="52"/>
        <v>51</v>
      </c>
      <c r="B2122" t="str">
        <f>"51.3205"</f>
        <v>51.3205</v>
      </c>
      <c r="C2122" t="s">
        <v>2151</v>
      </c>
    </row>
    <row r="2123" spans="1:3" x14ac:dyDescent="0.25">
      <c r="A2123" t="str">
        <f t="shared" si="52"/>
        <v>51</v>
      </c>
      <c r="B2123" t="str">
        <f>"51.3206"</f>
        <v>51.3206</v>
      </c>
      <c r="C2123" t="s">
        <v>2152</v>
      </c>
    </row>
    <row r="2124" spans="1:3" x14ac:dyDescent="0.25">
      <c r="A2124" t="str">
        <f t="shared" si="52"/>
        <v>51</v>
      </c>
      <c r="B2124" t="str">
        <f>"51.3299"</f>
        <v>51.3299</v>
      </c>
      <c r="C2124" t="s">
        <v>2153</v>
      </c>
    </row>
    <row r="2125" spans="1:3" x14ac:dyDescent="0.25">
      <c r="A2125" t="str">
        <f t="shared" si="52"/>
        <v>51</v>
      </c>
      <c r="B2125" t="str">
        <f>"51.33"</f>
        <v>51.33</v>
      </c>
      <c r="C2125" t="s">
        <v>1617</v>
      </c>
    </row>
    <row r="2126" spans="1:3" x14ac:dyDescent="0.25">
      <c r="A2126" t="str">
        <f t="shared" ref="A2126:A2185" si="53">"51"</f>
        <v>51</v>
      </c>
      <c r="B2126" t="str">
        <f>"51.3300"</f>
        <v>51.3300</v>
      </c>
      <c r="C2126" t="s">
        <v>1618</v>
      </c>
    </row>
    <row r="2127" spans="1:3" x14ac:dyDescent="0.25">
      <c r="A2127" t="str">
        <f t="shared" si="53"/>
        <v>51</v>
      </c>
      <c r="B2127" t="str">
        <f>"51.3301"</f>
        <v>51.3301</v>
      </c>
      <c r="C2127" t="s">
        <v>1619</v>
      </c>
    </row>
    <row r="2128" spans="1:3" x14ac:dyDescent="0.25">
      <c r="A2128" t="str">
        <f t="shared" si="53"/>
        <v>51</v>
      </c>
      <c r="B2128" t="str">
        <f>"51.3302"</f>
        <v>51.3302</v>
      </c>
      <c r="C2128" t="s">
        <v>1620</v>
      </c>
    </row>
    <row r="2129" spans="1:3" x14ac:dyDescent="0.25">
      <c r="A2129" t="str">
        <f t="shared" si="53"/>
        <v>51</v>
      </c>
      <c r="B2129" t="str">
        <f>"51.3303"</f>
        <v>51.3303</v>
      </c>
      <c r="C2129" t="s">
        <v>1621</v>
      </c>
    </row>
    <row r="2130" spans="1:3" x14ac:dyDescent="0.25">
      <c r="A2130" t="str">
        <f t="shared" si="53"/>
        <v>51</v>
      </c>
      <c r="B2130" t="str">
        <f>"51.3304"</f>
        <v>51.3304</v>
      </c>
      <c r="C2130" t="s">
        <v>1622</v>
      </c>
    </row>
    <row r="2131" spans="1:3" x14ac:dyDescent="0.25">
      <c r="A2131" t="str">
        <f t="shared" si="53"/>
        <v>51</v>
      </c>
      <c r="B2131" t="str">
        <f>"51.3305"</f>
        <v>51.3305</v>
      </c>
      <c r="C2131" t="s">
        <v>1623</v>
      </c>
    </row>
    <row r="2132" spans="1:3" x14ac:dyDescent="0.25">
      <c r="A2132" t="str">
        <f t="shared" si="53"/>
        <v>51</v>
      </c>
      <c r="B2132" t="str">
        <f>"51.3306"</f>
        <v>51.3306</v>
      </c>
      <c r="C2132" t="s">
        <v>2154</v>
      </c>
    </row>
    <row r="2133" spans="1:3" x14ac:dyDescent="0.25">
      <c r="A2133" t="str">
        <f t="shared" si="53"/>
        <v>51</v>
      </c>
      <c r="B2133" t="str">
        <f>"51.3399"</f>
        <v>51.3399</v>
      </c>
      <c r="C2133" t="s">
        <v>1624</v>
      </c>
    </row>
    <row r="2134" spans="1:3" x14ac:dyDescent="0.25">
      <c r="A2134" t="str">
        <f t="shared" si="53"/>
        <v>51</v>
      </c>
      <c r="B2134" t="str">
        <f>"51.34"</f>
        <v>51.34</v>
      </c>
      <c r="C2134" t="s">
        <v>1625</v>
      </c>
    </row>
    <row r="2135" spans="1:3" x14ac:dyDescent="0.25">
      <c r="A2135" t="str">
        <f t="shared" si="53"/>
        <v>51</v>
      </c>
      <c r="B2135" t="str">
        <f>"51.3401"</f>
        <v>51.3401</v>
      </c>
      <c r="C2135" t="s">
        <v>1626</v>
      </c>
    </row>
    <row r="2136" spans="1:3" x14ac:dyDescent="0.25">
      <c r="A2136" t="str">
        <f t="shared" si="53"/>
        <v>51</v>
      </c>
      <c r="B2136" t="str">
        <f>"51.3499"</f>
        <v>51.3499</v>
      </c>
      <c r="C2136" t="s">
        <v>1627</v>
      </c>
    </row>
    <row r="2137" spans="1:3" x14ac:dyDescent="0.25">
      <c r="A2137" t="str">
        <f t="shared" si="53"/>
        <v>51</v>
      </c>
      <c r="B2137" t="str">
        <f>"51.35"</f>
        <v>51.35</v>
      </c>
      <c r="C2137" t="s">
        <v>1628</v>
      </c>
    </row>
    <row r="2138" spans="1:3" x14ac:dyDescent="0.25">
      <c r="A2138" t="str">
        <f t="shared" si="53"/>
        <v>51</v>
      </c>
      <c r="B2138" t="str">
        <f>"51.3501"</f>
        <v>51.3501</v>
      </c>
      <c r="C2138" t="s">
        <v>1629</v>
      </c>
    </row>
    <row r="2139" spans="1:3" x14ac:dyDescent="0.25">
      <c r="A2139" t="str">
        <f t="shared" si="53"/>
        <v>51</v>
      </c>
      <c r="B2139" t="str">
        <f>"51.3502"</f>
        <v>51.3502</v>
      </c>
      <c r="C2139" t="s">
        <v>1630</v>
      </c>
    </row>
    <row r="2140" spans="1:3" x14ac:dyDescent="0.25">
      <c r="A2140" t="str">
        <f t="shared" si="53"/>
        <v>51</v>
      </c>
      <c r="B2140" t="str">
        <f>"51.3503"</f>
        <v>51.3503</v>
      </c>
      <c r="C2140" t="s">
        <v>1631</v>
      </c>
    </row>
    <row r="2141" spans="1:3" x14ac:dyDescent="0.25">
      <c r="A2141" t="str">
        <f t="shared" si="53"/>
        <v>51</v>
      </c>
      <c r="B2141" t="str">
        <f>"51.3599"</f>
        <v>51.3599</v>
      </c>
      <c r="C2141" t="s">
        <v>1632</v>
      </c>
    </row>
    <row r="2142" spans="1:3" x14ac:dyDescent="0.25">
      <c r="A2142" t="str">
        <f t="shared" si="53"/>
        <v>51</v>
      </c>
      <c r="B2142" t="str">
        <f>"51.36"</f>
        <v>51.36</v>
      </c>
      <c r="C2142" t="s">
        <v>1633</v>
      </c>
    </row>
    <row r="2143" spans="1:3" x14ac:dyDescent="0.25">
      <c r="A2143" t="str">
        <f t="shared" si="53"/>
        <v>51</v>
      </c>
      <c r="B2143" t="str">
        <f>"51.3601"</f>
        <v>51.3601</v>
      </c>
      <c r="C2143" t="s">
        <v>1634</v>
      </c>
    </row>
    <row r="2144" spans="1:3" x14ac:dyDescent="0.25">
      <c r="A2144" t="str">
        <f t="shared" si="53"/>
        <v>51</v>
      </c>
      <c r="B2144" t="str">
        <f>"51.3602"</f>
        <v>51.3602</v>
      </c>
      <c r="C2144" t="s">
        <v>1635</v>
      </c>
    </row>
    <row r="2145" spans="1:3" x14ac:dyDescent="0.25">
      <c r="A2145" t="str">
        <f t="shared" si="53"/>
        <v>51</v>
      </c>
      <c r="B2145" t="str">
        <f>"51.3603"</f>
        <v>51.3603</v>
      </c>
      <c r="C2145" t="s">
        <v>1636</v>
      </c>
    </row>
    <row r="2146" spans="1:3" x14ac:dyDescent="0.25">
      <c r="A2146" t="str">
        <f t="shared" si="53"/>
        <v>51</v>
      </c>
      <c r="B2146" t="str">
        <f>"51.3699"</f>
        <v>51.3699</v>
      </c>
      <c r="C2146" t="s">
        <v>1637</v>
      </c>
    </row>
    <row r="2147" spans="1:3" x14ac:dyDescent="0.25">
      <c r="A2147" t="str">
        <f t="shared" si="53"/>
        <v>51</v>
      </c>
      <c r="B2147" t="str">
        <f>"51.37"</f>
        <v>51.37</v>
      </c>
      <c r="C2147" t="s">
        <v>1638</v>
      </c>
    </row>
    <row r="2148" spans="1:3" x14ac:dyDescent="0.25">
      <c r="A2148" t="str">
        <f t="shared" si="53"/>
        <v>51</v>
      </c>
      <c r="B2148" t="str">
        <f>"51.3701"</f>
        <v>51.3701</v>
      </c>
      <c r="C2148" t="s">
        <v>1639</v>
      </c>
    </row>
    <row r="2149" spans="1:3" x14ac:dyDescent="0.25">
      <c r="A2149" t="str">
        <f t="shared" si="53"/>
        <v>51</v>
      </c>
      <c r="B2149" t="str">
        <f>"51.3702"</f>
        <v>51.3702</v>
      </c>
      <c r="C2149" t="s">
        <v>1640</v>
      </c>
    </row>
    <row r="2150" spans="1:3" x14ac:dyDescent="0.25">
      <c r="A2150" t="str">
        <f t="shared" si="53"/>
        <v>51</v>
      </c>
      <c r="B2150" t="str">
        <f>"51.3703"</f>
        <v>51.3703</v>
      </c>
      <c r="C2150" t="s">
        <v>1641</v>
      </c>
    </row>
    <row r="2151" spans="1:3" x14ac:dyDescent="0.25">
      <c r="A2151" t="str">
        <f t="shared" si="53"/>
        <v>51</v>
      </c>
      <c r="B2151" t="str">
        <f>"51.3704"</f>
        <v>51.3704</v>
      </c>
      <c r="C2151" t="s">
        <v>1642</v>
      </c>
    </row>
    <row r="2152" spans="1:3" x14ac:dyDescent="0.25">
      <c r="A2152" t="str">
        <f t="shared" si="53"/>
        <v>51</v>
      </c>
      <c r="B2152" t="str">
        <f>"51.3799"</f>
        <v>51.3799</v>
      </c>
      <c r="C2152" t="s">
        <v>1643</v>
      </c>
    </row>
    <row r="2153" spans="1:3" x14ac:dyDescent="0.25">
      <c r="A2153" t="str">
        <f t="shared" si="53"/>
        <v>51</v>
      </c>
      <c r="B2153" t="str">
        <f>"51.38"</f>
        <v>51.38</v>
      </c>
      <c r="C2153" t="s">
        <v>1644</v>
      </c>
    </row>
    <row r="2154" spans="1:3" x14ac:dyDescent="0.25">
      <c r="A2154" t="str">
        <f t="shared" si="53"/>
        <v>51</v>
      </c>
      <c r="B2154" t="str">
        <f>"51.3801"</f>
        <v>51.3801</v>
      </c>
      <c r="C2154" t="s">
        <v>1645</v>
      </c>
    </row>
    <row r="2155" spans="1:3" x14ac:dyDescent="0.25">
      <c r="A2155" t="str">
        <f t="shared" si="53"/>
        <v>51</v>
      </c>
      <c r="B2155" t="str">
        <f>"51.3802"</f>
        <v>51.3802</v>
      </c>
      <c r="C2155" t="s">
        <v>1646</v>
      </c>
    </row>
    <row r="2156" spans="1:3" x14ac:dyDescent="0.25">
      <c r="A2156" t="str">
        <f t="shared" si="53"/>
        <v>51</v>
      </c>
      <c r="B2156" t="str">
        <f>"51.3803"</f>
        <v>51.3803</v>
      </c>
      <c r="C2156" t="s">
        <v>1527</v>
      </c>
    </row>
    <row r="2157" spans="1:3" x14ac:dyDescent="0.25">
      <c r="A2157" t="str">
        <f t="shared" si="53"/>
        <v>51</v>
      </c>
      <c r="B2157" t="str">
        <f>"51.3804"</f>
        <v>51.3804</v>
      </c>
      <c r="C2157" t="s">
        <v>1528</v>
      </c>
    </row>
    <row r="2158" spans="1:3" x14ac:dyDescent="0.25">
      <c r="A2158" t="str">
        <f t="shared" si="53"/>
        <v>51</v>
      </c>
      <c r="B2158" t="str">
        <f>"51.3805"</f>
        <v>51.3805</v>
      </c>
      <c r="C2158" t="s">
        <v>1647</v>
      </c>
    </row>
    <row r="2159" spans="1:3" x14ac:dyDescent="0.25">
      <c r="A2159" t="str">
        <f t="shared" si="53"/>
        <v>51</v>
      </c>
      <c r="B2159" t="str">
        <f>"51.3806"</f>
        <v>51.3806</v>
      </c>
      <c r="C2159" t="s">
        <v>1529</v>
      </c>
    </row>
    <row r="2160" spans="1:3" x14ac:dyDescent="0.25">
      <c r="A2160" t="str">
        <f t="shared" si="53"/>
        <v>51</v>
      </c>
      <c r="B2160" t="str">
        <f>"51.3807"</f>
        <v>51.3807</v>
      </c>
      <c r="C2160" t="s">
        <v>1530</v>
      </c>
    </row>
    <row r="2161" spans="1:3" x14ac:dyDescent="0.25">
      <c r="A2161" t="str">
        <f t="shared" si="53"/>
        <v>51</v>
      </c>
      <c r="B2161" t="str">
        <f>"51.3808"</f>
        <v>51.3808</v>
      </c>
      <c r="C2161" t="s">
        <v>1648</v>
      </c>
    </row>
    <row r="2162" spans="1:3" x14ac:dyDescent="0.25">
      <c r="A2162" t="str">
        <f t="shared" si="53"/>
        <v>51</v>
      </c>
      <c r="B2162" t="str">
        <f>"51.3809"</f>
        <v>51.3809</v>
      </c>
      <c r="C2162" t="s">
        <v>1531</v>
      </c>
    </row>
    <row r="2163" spans="1:3" x14ac:dyDescent="0.25">
      <c r="A2163" t="str">
        <f t="shared" si="53"/>
        <v>51</v>
      </c>
      <c r="B2163" t="str">
        <f>"51.3810"</f>
        <v>51.3810</v>
      </c>
      <c r="C2163" t="s">
        <v>1532</v>
      </c>
    </row>
    <row r="2164" spans="1:3" x14ac:dyDescent="0.25">
      <c r="A2164" t="str">
        <f t="shared" si="53"/>
        <v>51</v>
      </c>
      <c r="B2164" t="str">
        <f>"51.3811"</f>
        <v>51.3811</v>
      </c>
      <c r="C2164" t="s">
        <v>1533</v>
      </c>
    </row>
    <row r="2165" spans="1:3" x14ac:dyDescent="0.25">
      <c r="A2165" t="str">
        <f t="shared" si="53"/>
        <v>51</v>
      </c>
      <c r="B2165" t="str">
        <f>"51.3812"</f>
        <v>51.3812</v>
      </c>
      <c r="C2165" t="s">
        <v>1534</v>
      </c>
    </row>
    <row r="2166" spans="1:3" x14ac:dyDescent="0.25">
      <c r="A2166" t="str">
        <f t="shared" si="53"/>
        <v>51</v>
      </c>
      <c r="B2166" t="str">
        <f>"51.3813"</f>
        <v>51.3813</v>
      </c>
      <c r="C2166" t="s">
        <v>1535</v>
      </c>
    </row>
    <row r="2167" spans="1:3" x14ac:dyDescent="0.25">
      <c r="A2167" t="str">
        <f t="shared" si="53"/>
        <v>51</v>
      </c>
      <c r="B2167" t="str">
        <f>"51.3814"</f>
        <v>51.3814</v>
      </c>
      <c r="C2167" t="s">
        <v>1536</v>
      </c>
    </row>
    <row r="2168" spans="1:3" x14ac:dyDescent="0.25">
      <c r="A2168" t="str">
        <f t="shared" si="53"/>
        <v>51</v>
      </c>
      <c r="B2168" t="str">
        <f>"51.3815"</f>
        <v>51.3815</v>
      </c>
      <c r="C2168" t="s">
        <v>1537</v>
      </c>
    </row>
    <row r="2169" spans="1:3" x14ac:dyDescent="0.25">
      <c r="A2169" t="str">
        <f t="shared" si="53"/>
        <v>51</v>
      </c>
      <c r="B2169" t="str">
        <f>"51.3816"</f>
        <v>51.3816</v>
      </c>
      <c r="C2169" t="s">
        <v>1649</v>
      </c>
    </row>
    <row r="2170" spans="1:3" x14ac:dyDescent="0.25">
      <c r="A2170" t="str">
        <f t="shared" si="53"/>
        <v>51</v>
      </c>
      <c r="B2170" t="str">
        <f>"51.3817"</f>
        <v>51.3817</v>
      </c>
      <c r="C2170" t="s">
        <v>1650</v>
      </c>
    </row>
    <row r="2171" spans="1:3" x14ac:dyDescent="0.25">
      <c r="A2171" t="str">
        <f t="shared" si="53"/>
        <v>51</v>
      </c>
      <c r="B2171" t="str">
        <f>"51.3818"</f>
        <v>51.3818</v>
      </c>
      <c r="C2171" t="s">
        <v>1651</v>
      </c>
    </row>
    <row r="2172" spans="1:3" x14ac:dyDescent="0.25">
      <c r="A2172" t="str">
        <f t="shared" si="53"/>
        <v>51</v>
      </c>
      <c r="B2172" t="str">
        <f>"51.3819"</f>
        <v>51.3819</v>
      </c>
      <c r="C2172" t="s">
        <v>1652</v>
      </c>
    </row>
    <row r="2173" spans="1:3" x14ac:dyDescent="0.25">
      <c r="A2173" t="str">
        <f t="shared" si="53"/>
        <v>51</v>
      </c>
      <c r="B2173" t="str">
        <f>"51.3820"</f>
        <v>51.3820</v>
      </c>
      <c r="C2173" t="s">
        <v>1653</v>
      </c>
    </row>
    <row r="2174" spans="1:3" x14ac:dyDescent="0.25">
      <c r="A2174" t="str">
        <f t="shared" si="53"/>
        <v>51</v>
      </c>
      <c r="B2174" t="str">
        <f>"51.3821"</f>
        <v>51.3821</v>
      </c>
      <c r="C2174" t="s">
        <v>1654</v>
      </c>
    </row>
    <row r="2175" spans="1:3" x14ac:dyDescent="0.25">
      <c r="A2175" t="str">
        <f t="shared" si="53"/>
        <v>51</v>
      </c>
      <c r="B2175" t="str">
        <f>"51.3822"</f>
        <v>51.3822</v>
      </c>
      <c r="C2175" t="s">
        <v>1655</v>
      </c>
    </row>
    <row r="2176" spans="1:3" x14ac:dyDescent="0.25">
      <c r="A2176" t="str">
        <f t="shared" si="53"/>
        <v>51</v>
      </c>
      <c r="B2176" t="str">
        <f>"51.3823"</f>
        <v>51.3823</v>
      </c>
      <c r="C2176" t="s">
        <v>1797</v>
      </c>
    </row>
    <row r="2177" spans="1:3" x14ac:dyDescent="0.25">
      <c r="A2177" t="str">
        <f t="shared" si="53"/>
        <v>51</v>
      </c>
      <c r="B2177" t="str">
        <f>"51.3824"</f>
        <v>51.3824</v>
      </c>
      <c r="C2177" t="s">
        <v>2155</v>
      </c>
    </row>
    <row r="2178" spans="1:3" x14ac:dyDescent="0.25">
      <c r="A2178" t="str">
        <f t="shared" si="53"/>
        <v>51</v>
      </c>
      <c r="B2178" t="str">
        <f>"51.3899"</f>
        <v>51.3899</v>
      </c>
      <c r="C2178" t="s">
        <v>1656</v>
      </c>
    </row>
    <row r="2179" spans="1:3" x14ac:dyDescent="0.25">
      <c r="A2179" t="str">
        <f t="shared" si="53"/>
        <v>51</v>
      </c>
      <c r="B2179" t="str">
        <f>"51.39"</f>
        <v>51.39</v>
      </c>
      <c r="C2179" t="s">
        <v>1657</v>
      </c>
    </row>
    <row r="2180" spans="1:3" x14ac:dyDescent="0.25">
      <c r="A2180" t="str">
        <f t="shared" si="53"/>
        <v>51</v>
      </c>
      <c r="B2180" t="str">
        <f>"51.3901"</f>
        <v>51.3901</v>
      </c>
      <c r="C2180" t="s">
        <v>1658</v>
      </c>
    </row>
    <row r="2181" spans="1:3" x14ac:dyDescent="0.25">
      <c r="A2181" t="str">
        <f t="shared" si="53"/>
        <v>51</v>
      </c>
      <c r="B2181" t="str">
        <f>"51.3902"</f>
        <v>51.3902</v>
      </c>
      <c r="C2181" t="s">
        <v>1659</v>
      </c>
    </row>
    <row r="2182" spans="1:3" x14ac:dyDescent="0.25">
      <c r="A2182" t="str">
        <f t="shared" si="53"/>
        <v>51</v>
      </c>
      <c r="B2182" t="str">
        <f>"51.3999"</f>
        <v>51.3999</v>
      </c>
      <c r="C2182" t="s">
        <v>1660</v>
      </c>
    </row>
    <row r="2183" spans="1:3" x14ac:dyDescent="0.25">
      <c r="A2183" t="str">
        <f t="shared" si="53"/>
        <v>51</v>
      </c>
      <c r="B2183" t="str">
        <f>"51.99"</f>
        <v>51.99</v>
      </c>
      <c r="C2183" t="s">
        <v>1661</v>
      </c>
    </row>
    <row r="2184" spans="1:3" x14ac:dyDescent="0.25">
      <c r="A2184" t="str">
        <f t="shared" si="53"/>
        <v>51</v>
      </c>
      <c r="B2184" t="str">
        <f>"51.9980"</f>
        <v>51.9980</v>
      </c>
      <c r="C2184" t="s">
        <v>1797</v>
      </c>
    </row>
    <row r="2185" spans="1:3" x14ac:dyDescent="0.25">
      <c r="A2185" t="str">
        <f t="shared" si="53"/>
        <v>51</v>
      </c>
      <c r="B2185" t="str">
        <f>"51.9999"</f>
        <v>51.9999</v>
      </c>
      <c r="C2185" t="s">
        <v>1661</v>
      </c>
    </row>
    <row r="2186" spans="1:3" x14ac:dyDescent="0.25">
      <c r="A2186" t="str">
        <f>"52"</f>
        <v>52</v>
      </c>
      <c r="B2186" t="str">
        <f>"52"</f>
        <v>52</v>
      </c>
      <c r="C2186" t="s">
        <v>1662</v>
      </c>
    </row>
    <row r="2187" spans="1:3" x14ac:dyDescent="0.25">
      <c r="A2187" t="str">
        <f t="shared" ref="A2187:A2250" si="54">"52"</f>
        <v>52</v>
      </c>
      <c r="B2187" t="str">
        <f>"52.01"</f>
        <v>52.01</v>
      </c>
      <c r="C2187" t="s">
        <v>1663</v>
      </c>
    </row>
    <row r="2188" spans="1:3" x14ac:dyDescent="0.25">
      <c r="A2188" t="str">
        <f t="shared" si="54"/>
        <v>52</v>
      </c>
      <c r="B2188" t="str">
        <f>"52.0101"</f>
        <v>52.0101</v>
      </c>
      <c r="C2188" t="s">
        <v>1663</v>
      </c>
    </row>
    <row r="2189" spans="1:3" x14ac:dyDescent="0.25">
      <c r="A2189" t="str">
        <f t="shared" si="54"/>
        <v>52</v>
      </c>
      <c r="B2189" t="str">
        <f>"52.02"</f>
        <v>52.02</v>
      </c>
      <c r="C2189" t="s">
        <v>1664</v>
      </c>
    </row>
    <row r="2190" spans="1:3" x14ac:dyDescent="0.25">
      <c r="A2190" t="str">
        <f t="shared" si="54"/>
        <v>52</v>
      </c>
      <c r="B2190" t="str">
        <f>"52.0201"</f>
        <v>52.0201</v>
      </c>
      <c r="C2190" t="s">
        <v>1665</v>
      </c>
    </row>
    <row r="2191" spans="1:3" x14ac:dyDescent="0.25">
      <c r="A2191" t="str">
        <f t="shared" si="54"/>
        <v>52</v>
      </c>
      <c r="B2191" t="str">
        <f>"52.0202"</f>
        <v>52.0202</v>
      </c>
      <c r="C2191" t="s">
        <v>1666</v>
      </c>
    </row>
    <row r="2192" spans="1:3" x14ac:dyDescent="0.25">
      <c r="A2192" t="str">
        <f t="shared" si="54"/>
        <v>52</v>
      </c>
      <c r="B2192" t="str">
        <f>"52.0203"</f>
        <v>52.0203</v>
      </c>
      <c r="C2192" t="s">
        <v>1667</v>
      </c>
    </row>
    <row r="2193" spans="1:3" x14ac:dyDescent="0.25">
      <c r="A2193" t="str">
        <f t="shared" si="54"/>
        <v>52</v>
      </c>
      <c r="B2193" t="str">
        <f>"52.0204"</f>
        <v>52.0204</v>
      </c>
      <c r="C2193" t="s">
        <v>1668</v>
      </c>
    </row>
    <row r="2194" spans="1:3" x14ac:dyDescent="0.25">
      <c r="A2194" t="str">
        <f t="shared" si="54"/>
        <v>52</v>
      </c>
      <c r="B2194" t="str">
        <f>"52.0205"</f>
        <v>52.0205</v>
      </c>
      <c r="C2194" t="s">
        <v>1669</v>
      </c>
    </row>
    <row r="2195" spans="1:3" x14ac:dyDescent="0.25">
      <c r="A2195" t="str">
        <f t="shared" si="54"/>
        <v>52</v>
      </c>
      <c r="B2195" t="str">
        <f>"52.0206"</f>
        <v>52.0206</v>
      </c>
      <c r="C2195" t="s">
        <v>1670</v>
      </c>
    </row>
    <row r="2196" spans="1:3" x14ac:dyDescent="0.25">
      <c r="A2196" t="str">
        <f t="shared" si="54"/>
        <v>52</v>
      </c>
      <c r="B2196" t="str">
        <f>"52.0207"</f>
        <v>52.0207</v>
      </c>
      <c r="C2196" t="s">
        <v>1671</v>
      </c>
    </row>
    <row r="2197" spans="1:3" x14ac:dyDescent="0.25">
      <c r="A2197" t="str">
        <f t="shared" si="54"/>
        <v>52</v>
      </c>
      <c r="B2197" t="str">
        <f>"52.0208"</f>
        <v>52.0208</v>
      </c>
      <c r="C2197" t="s">
        <v>1672</v>
      </c>
    </row>
    <row r="2198" spans="1:3" x14ac:dyDescent="0.25">
      <c r="A2198" t="str">
        <f t="shared" si="54"/>
        <v>52</v>
      </c>
      <c r="B2198" t="str">
        <f>"52.0209"</f>
        <v>52.0209</v>
      </c>
      <c r="C2198" t="s">
        <v>1673</v>
      </c>
    </row>
    <row r="2199" spans="1:3" x14ac:dyDescent="0.25">
      <c r="A2199" t="str">
        <f t="shared" si="54"/>
        <v>52</v>
      </c>
      <c r="B2199" t="str">
        <f>"52.0210"</f>
        <v>52.0210</v>
      </c>
      <c r="C2199" t="s">
        <v>1674</v>
      </c>
    </row>
    <row r="2200" spans="1:3" x14ac:dyDescent="0.25">
      <c r="A2200" t="str">
        <f t="shared" si="54"/>
        <v>52</v>
      </c>
      <c r="B2200" t="str">
        <f>"52.0211"</f>
        <v>52.0211</v>
      </c>
      <c r="C2200" t="s">
        <v>1675</v>
      </c>
    </row>
    <row r="2201" spans="1:3" x14ac:dyDescent="0.25">
      <c r="A2201" t="str">
        <f t="shared" si="54"/>
        <v>52</v>
      </c>
      <c r="B2201" t="str">
        <f>"52.0212"</f>
        <v>52.0212</v>
      </c>
      <c r="C2201" t="s">
        <v>1676</v>
      </c>
    </row>
    <row r="2202" spans="1:3" x14ac:dyDescent="0.25">
      <c r="A2202" t="str">
        <f t="shared" si="54"/>
        <v>52</v>
      </c>
      <c r="B2202" t="str">
        <f>"52.0213"</f>
        <v>52.0213</v>
      </c>
      <c r="C2202" t="s">
        <v>1677</v>
      </c>
    </row>
    <row r="2203" spans="1:3" x14ac:dyDescent="0.25">
      <c r="A2203" t="str">
        <f t="shared" si="54"/>
        <v>52</v>
      </c>
      <c r="B2203" t="str">
        <f>"52.0214"</f>
        <v>52.0214</v>
      </c>
      <c r="C2203" t="s">
        <v>2156</v>
      </c>
    </row>
    <row r="2204" spans="1:3" x14ac:dyDescent="0.25">
      <c r="A2204" t="str">
        <f t="shared" si="54"/>
        <v>52</v>
      </c>
      <c r="B2204" t="str">
        <f>"52.0215"</f>
        <v>52.0215</v>
      </c>
      <c r="C2204" t="s">
        <v>2157</v>
      </c>
    </row>
    <row r="2205" spans="1:3" x14ac:dyDescent="0.25">
      <c r="A2205" t="str">
        <f t="shared" si="54"/>
        <v>52</v>
      </c>
      <c r="B2205" t="str">
        <f>"52.0216"</f>
        <v>52.0216</v>
      </c>
      <c r="C2205" t="s">
        <v>2158</v>
      </c>
    </row>
    <row r="2206" spans="1:3" x14ac:dyDescent="0.25">
      <c r="A2206" t="str">
        <f t="shared" si="54"/>
        <v>52</v>
      </c>
      <c r="B2206" t="str">
        <f>"52.0299"</f>
        <v>52.0299</v>
      </c>
      <c r="C2206" t="s">
        <v>1678</v>
      </c>
    </row>
    <row r="2207" spans="1:3" x14ac:dyDescent="0.25">
      <c r="A2207" t="str">
        <f t="shared" si="54"/>
        <v>52</v>
      </c>
      <c r="B2207" t="str">
        <f>"52.03"</f>
        <v>52.03</v>
      </c>
      <c r="C2207" t="s">
        <v>1679</v>
      </c>
    </row>
    <row r="2208" spans="1:3" x14ac:dyDescent="0.25">
      <c r="A2208" t="str">
        <f t="shared" si="54"/>
        <v>52</v>
      </c>
      <c r="B2208" t="str">
        <f>"52.0301"</f>
        <v>52.0301</v>
      </c>
      <c r="C2208" t="s">
        <v>1680</v>
      </c>
    </row>
    <row r="2209" spans="1:3" x14ac:dyDescent="0.25">
      <c r="A2209" t="str">
        <f t="shared" si="54"/>
        <v>52</v>
      </c>
      <c r="B2209" t="str">
        <f>"52.0302"</f>
        <v>52.0302</v>
      </c>
      <c r="C2209" t="s">
        <v>1681</v>
      </c>
    </row>
    <row r="2210" spans="1:3" x14ac:dyDescent="0.25">
      <c r="A2210" t="str">
        <f t="shared" si="54"/>
        <v>52</v>
      </c>
      <c r="B2210" t="str">
        <f>"52.0303"</f>
        <v>52.0303</v>
      </c>
      <c r="C2210" t="s">
        <v>1682</v>
      </c>
    </row>
    <row r="2211" spans="1:3" x14ac:dyDescent="0.25">
      <c r="A2211" t="str">
        <f t="shared" si="54"/>
        <v>52</v>
      </c>
      <c r="B2211" t="str">
        <f>"52.0304"</f>
        <v>52.0304</v>
      </c>
      <c r="C2211" t="s">
        <v>1683</v>
      </c>
    </row>
    <row r="2212" spans="1:3" x14ac:dyDescent="0.25">
      <c r="A2212" t="str">
        <f t="shared" si="54"/>
        <v>52</v>
      </c>
      <c r="B2212" t="str">
        <f>"52.0305"</f>
        <v>52.0305</v>
      </c>
      <c r="C2212" t="s">
        <v>1684</v>
      </c>
    </row>
    <row r="2213" spans="1:3" x14ac:dyDescent="0.25">
      <c r="A2213" t="str">
        <f t="shared" si="54"/>
        <v>52</v>
      </c>
      <c r="B2213" t="str">
        <f>"52.0399"</f>
        <v>52.0399</v>
      </c>
      <c r="C2213" t="s">
        <v>1685</v>
      </c>
    </row>
    <row r="2214" spans="1:3" x14ac:dyDescent="0.25">
      <c r="A2214" t="str">
        <f t="shared" si="54"/>
        <v>52</v>
      </c>
      <c r="B2214" t="str">
        <f>"52.04"</f>
        <v>52.04</v>
      </c>
      <c r="C2214" t="s">
        <v>1686</v>
      </c>
    </row>
    <row r="2215" spans="1:3" x14ac:dyDescent="0.25">
      <c r="A2215" t="str">
        <f t="shared" si="54"/>
        <v>52</v>
      </c>
      <c r="B2215" t="str">
        <f>"52.0401"</f>
        <v>52.0401</v>
      </c>
      <c r="C2215" t="s">
        <v>1687</v>
      </c>
    </row>
    <row r="2216" spans="1:3" x14ac:dyDescent="0.25">
      <c r="A2216" t="str">
        <f t="shared" si="54"/>
        <v>52</v>
      </c>
      <c r="B2216" t="str">
        <f>"52.0402"</f>
        <v>52.0402</v>
      </c>
      <c r="C2216" t="s">
        <v>1688</v>
      </c>
    </row>
    <row r="2217" spans="1:3" x14ac:dyDescent="0.25">
      <c r="A2217" t="str">
        <f t="shared" si="54"/>
        <v>52</v>
      </c>
      <c r="B2217" t="str">
        <f>"52.0406"</f>
        <v>52.0406</v>
      </c>
      <c r="C2217" t="s">
        <v>1689</v>
      </c>
    </row>
    <row r="2218" spans="1:3" x14ac:dyDescent="0.25">
      <c r="A2218" t="str">
        <f t="shared" si="54"/>
        <v>52</v>
      </c>
      <c r="B2218" t="str">
        <f>"52.0407"</f>
        <v>52.0407</v>
      </c>
      <c r="C2218" t="s">
        <v>1690</v>
      </c>
    </row>
    <row r="2219" spans="1:3" x14ac:dyDescent="0.25">
      <c r="A2219" t="str">
        <f t="shared" si="54"/>
        <v>52</v>
      </c>
      <c r="B2219" t="str">
        <f>"52.0408"</f>
        <v>52.0408</v>
      </c>
      <c r="C2219" t="s">
        <v>1691</v>
      </c>
    </row>
    <row r="2220" spans="1:3" x14ac:dyDescent="0.25">
      <c r="A2220" t="str">
        <f t="shared" si="54"/>
        <v>52</v>
      </c>
      <c r="B2220" t="str">
        <f>"52.0409"</f>
        <v>52.0409</v>
      </c>
      <c r="C2220" t="s">
        <v>1692</v>
      </c>
    </row>
    <row r="2221" spans="1:3" x14ac:dyDescent="0.25">
      <c r="A2221" t="str">
        <f t="shared" si="54"/>
        <v>52</v>
      </c>
      <c r="B2221" t="str">
        <f>"52.0410"</f>
        <v>52.0410</v>
      </c>
      <c r="C2221" t="s">
        <v>1693</v>
      </c>
    </row>
    <row r="2222" spans="1:3" x14ac:dyDescent="0.25">
      <c r="A2222" t="str">
        <f t="shared" si="54"/>
        <v>52</v>
      </c>
      <c r="B2222" t="str">
        <f>"52.0411"</f>
        <v>52.0411</v>
      </c>
      <c r="C2222" t="s">
        <v>1694</v>
      </c>
    </row>
    <row r="2223" spans="1:3" x14ac:dyDescent="0.25">
      <c r="A2223" t="str">
        <f t="shared" si="54"/>
        <v>52</v>
      </c>
      <c r="B2223" t="str">
        <f>"52.0499"</f>
        <v>52.0499</v>
      </c>
      <c r="C2223" t="s">
        <v>1695</v>
      </c>
    </row>
    <row r="2224" spans="1:3" x14ac:dyDescent="0.25">
      <c r="A2224" t="str">
        <f t="shared" si="54"/>
        <v>52</v>
      </c>
      <c r="B2224" t="str">
        <f>"52.05"</f>
        <v>52.05</v>
      </c>
      <c r="C2224" t="s">
        <v>1696</v>
      </c>
    </row>
    <row r="2225" spans="1:3" x14ac:dyDescent="0.25">
      <c r="A2225" t="str">
        <f t="shared" si="54"/>
        <v>52</v>
      </c>
      <c r="B2225" t="str">
        <f>"52.0501"</f>
        <v>52.0501</v>
      </c>
      <c r="C2225" t="s">
        <v>2159</v>
      </c>
    </row>
    <row r="2226" spans="1:3" x14ac:dyDescent="0.25">
      <c r="A2226" t="str">
        <f t="shared" si="54"/>
        <v>52</v>
      </c>
      <c r="B2226" t="str">
        <f>"52.0502"</f>
        <v>52.0502</v>
      </c>
      <c r="C2226" t="s">
        <v>2160</v>
      </c>
    </row>
    <row r="2227" spans="1:3" x14ac:dyDescent="0.25">
      <c r="A2227" t="str">
        <f t="shared" si="54"/>
        <v>52</v>
      </c>
      <c r="B2227" t="str">
        <f>"52.0599"</f>
        <v>52.0599</v>
      </c>
      <c r="C2227" t="s">
        <v>2161</v>
      </c>
    </row>
    <row r="2228" spans="1:3" x14ac:dyDescent="0.25">
      <c r="A2228" t="str">
        <f t="shared" si="54"/>
        <v>52</v>
      </c>
      <c r="B2228" t="str">
        <f>"52.06"</f>
        <v>52.06</v>
      </c>
      <c r="C2228" t="s">
        <v>1697</v>
      </c>
    </row>
    <row r="2229" spans="1:3" x14ac:dyDescent="0.25">
      <c r="A2229" t="str">
        <f t="shared" si="54"/>
        <v>52</v>
      </c>
      <c r="B2229" t="str">
        <f>"52.0601"</f>
        <v>52.0601</v>
      </c>
      <c r="C2229" t="s">
        <v>1697</v>
      </c>
    </row>
    <row r="2230" spans="1:3" x14ac:dyDescent="0.25">
      <c r="A2230" t="str">
        <f t="shared" si="54"/>
        <v>52</v>
      </c>
      <c r="B2230" t="str">
        <f>"52.07"</f>
        <v>52.07</v>
      </c>
      <c r="C2230" t="s">
        <v>1698</v>
      </c>
    </row>
    <row r="2231" spans="1:3" x14ac:dyDescent="0.25">
      <c r="A2231" t="str">
        <f t="shared" si="54"/>
        <v>52</v>
      </c>
      <c r="B2231" t="str">
        <f>"52.0701"</f>
        <v>52.0701</v>
      </c>
      <c r="C2231" t="s">
        <v>1699</v>
      </c>
    </row>
    <row r="2232" spans="1:3" x14ac:dyDescent="0.25">
      <c r="A2232" t="str">
        <f t="shared" si="54"/>
        <v>52</v>
      </c>
      <c r="B2232" t="str">
        <f>"52.0702"</f>
        <v>52.0702</v>
      </c>
      <c r="C2232" t="s">
        <v>1700</v>
      </c>
    </row>
    <row r="2233" spans="1:3" x14ac:dyDescent="0.25">
      <c r="A2233" t="str">
        <f t="shared" si="54"/>
        <v>52</v>
      </c>
      <c r="B2233" t="str">
        <f>"52.0703"</f>
        <v>52.0703</v>
      </c>
      <c r="C2233" t="s">
        <v>1701</v>
      </c>
    </row>
    <row r="2234" spans="1:3" x14ac:dyDescent="0.25">
      <c r="A2234" t="str">
        <f t="shared" si="54"/>
        <v>52</v>
      </c>
      <c r="B2234" t="str">
        <f>"52.0704"</f>
        <v>52.0704</v>
      </c>
      <c r="C2234" t="s">
        <v>2162</v>
      </c>
    </row>
    <row r="2235" spans="1:3" x14ac:dyDescent="0.25">
      <c r="A2235" t="str">
        <f t="shared" si="54"/>
        <v>52</v>
      </c>
      <c r="B2235" t="str">
        <f>"52.0799"</f>
        <v>52.0799</v>
      </c>
      <c r="C2235" t="s">
        <v>1702</v>
      </c>
    </row>
    <row r="2236" spans="1:3" x14ac:dyDescent="0.25">
      <c r="A2236" t="str">
        <f t="shared" si="54"/>
        <v>52</v>
      </c>
      <c r="B2236" t="str">
        <f>"52.08"</f>
        <v>52.08</v>
      </c>
      <c r="C2236" t="s">
        <v>1703</v>
      </c>
    </row>
    <row r="2237" spans="1:3" x14ac:dyDescent="0.25">
      <c r="A2237" t="str">
        <f t="shared" si="54"/>
        <v>52</v>
      </c>
      <c r="B2237" t="str">
        <f>"52.0801"</f>
        <v>52.0801</v>
      </c>
      <c r="C2237" t="s">
        <v>1704</v>
      </c>
    </row>
    <row r="2238" spans="1:3" x14ac:dyDescent="0.25">
      <c r="A2238" t="str">
        <f t="shared" si="54"/>
        <v>52</v>
      </c>
      <c r="B2238" t="str">
        <f>"52.0803"</f>
        <v>52.0803</v>
      </c>
      <c r="C2238" t="s">
        <v>1705</v>
      </c>
    </row>
    <row r="2239" spans="1:3" x14ac:dyDescent="0.25">
      <c r="A2239" t="str">
        <f t="shared" si="54"/>
        <v>52</v>
      </c>
      <c r="B2239" t="str">
        <f>"52.0804"</f>
        <v>52.0804</v>
      </c>
      <c r="C2239" t="s">
        <v>1706</v>
      </c>
    </row>
    <row r="2240" spans="1:3" x14ac:dyDescent="0.25">
      <c r="A2240" t="str">
        <f t="shared" si="54"/>
        <v>52</v>
      </c>
      <c r="B2240" t="str">
        <f>"52.0806"</f>
        <v>52.0806</v>
      </c>
      <c r="C2240" t="s">
        <v>1707</v>
      </c>
    </row>
    <row r="2241" spans="1:3" x14ac:dyDescent="0.25">
      <c r="A2241" t="str">
        <f t="shared" si="54"/>
        <v>52</v>
      </c>
      <c r="B2241" t="str">
        <f>"52.0807"</f>
        <v>52.0807</v>
      </c>
      <c r="C2241" t="s">
        <v>1708</v>
      </c>
    </row>
    <row r="2242" spans="1:3" x14ac:dyDescent="0.25">
      <c r="A2242" t="str">
        <f t="shared" si="54"/>
        <v>52</v>
      </c>
      <c r="B2242" t="str">
        <f>"52.0808"</f>
        <v>52.0808</v>
      </c>
      <c r="C2242" t="s">
        <v>1709</v>
      </c>
    </row>
    <row r="2243" spans="1:3" x14ac:dyDescent="0.25">
      <c r="A2243" t="str">
        <f t="shared" si="54"/>
        <v>52</v>
      </c>
      <c r="B2243" t="str">
        <f>"52.0809"</f>
        <v>52.0809</v>
      </c>
      <c r="C2243" t="s">
        <v>1710</v>
      </c>
    </row>
    <row r="2244" spans="1:3" x14ac:dyDescent="0.25">
      <c r="A2244" t="str">
        <f t="shared" si="54"/>
        <v>52</v>
      </c>
      <c r="B2244" t="str">
        <f>"52.0810"</f>
        <v>52.0810</v>
      </c>
      <c r="C2244" t="s">
        <v>2163</v>
      </c>
    </row>
    <row r="2245" spans="1:3" x14ac:dyDescent="0.25">
      <c r="A2245" t="str">
        <f t="shared" si="54"/>
        <v>52</v>
      </c>
      <c r="B2245" t="str">
        <f>"52.0899"</f>
        <v>52.0899</v>
      </c>
      <c r="C2245" t="s">
        <v>1711</v>
      </c>
    </row>
    <row r="2246" spans="1:3" x14ac:dyDescent="0.25">
      <c r="A2246" t="str">
        <f t="shared" si="54"/>
        <v>52</v>
      </c>
      <c r="B2246" t="str">
        <f>"52.09"</f>
        <v>52.09</v>
      </c>
      <c r="C2246" t="s">
        <v>1712</v>
      </c>
    </row>
    <row r="2247" spans="1:3" x14ac:dyDescent="0.25">
      <c r="A2247" t="str">
        <f t="shared" si="54"/>
        <v>52</v>
      </c>
      <c r="B2247" t="str">
        <f>"52.0901"</f>
        <v>52.0901</v>
      </c>
      <c r="C2247" t="s">
        <v>1713</v>
      </c>
    </row>
    <row r="2248" spans="1:3" x14ac:dyDescent="0.25">
      <c r="A2248" t="str">
        <f t="shared" si="54"/>
        <v>52</v>
      </c>
      <c r="B2248" t="str">
        <f>"52.0903"</f>
        <v>52.0903</v>
      </c>
      <c r="C2248" t="s">
        <v>1714</v>
      </c>
    </row>
    <row r="2249" spans="1:3" x14ac:dyDescent="0.25">
      <c r="A2249" t="str">
        <f t="shared" si="54"/>
        <v>52</v>
      </c>
      <c r="B2249" t="str">
        <f>"52.0904"</f>
        <v>52.0904</v>
      </c>
      <c r="C2249" t="s">
        <v>1715</v>
      </c>
    </row>
    <row r="2250" spans="1:3" x14ac:dyDescent="0.25">
      <c r="A2250" t="str">
        <f t="shared" si="54"/>
        <v>52</v>
      </c>
      <c r="B2250" t="str">
        <f>"52.0905"</f>
        <v>52.0905</v>
      </c>
      <c r="C2250" t="s">
        <v>1716</v>
      </c>
    </row>
    <row r="2251" spans="1:3" x14ac:dyDescent="0.25">
      <c r="A2251" t="str">
        <f t="shared" ref="A2251:A2314" si="55">"52"</f>
        <v>52</v>
      </c>
      <c r="B2251" t="str">
        <f>"52.0906"</f>
        <v>52.0906</v>
      </c>
      <c r="C2251" t="s">
        <v>1717</v>
      </c>
    </row>
    <row r="2252" spans="1:3" x14ac:dyDescent="0.25">
      <c r="A2252" t="str">
        <f t="shared" si="55"/>
        <v>52</v>
      </c>
      <c r="B2252" t="str">
        <f>"52.0907"</f>
        <v>52.0907</v>
      </c>
      <c r="C2252" t="s">
        <v>1718</v>
      </c>
    </row>
    <row r="2253" spans="1:3" x14ac:dyDescent="0.25">
      <c r="A2253" t="str">
        <f t="shared" si="55"/>
        <v>52</v>
      </c>
      <c r="B2253" t="str">
        <f>"52.0908"</f>
        <v>52.0908</v>
      </c>
      <c r="C2253" t="s">
        <v>1719</v>
      </c>
    </row>
    <row r="2254" spans="1:3" x14ac:dyDescent="0.25">
      <c r="A2254" t="str">
        <f t="shared" si="55"/>
        <v>52</v>
      </c>
      <c r="B2254" t="str">
        <f>"52.0909"</f>
        <v>52.0909</v>
      </c>
      <c r="C2254" t="s">
        <v>1720</v>
      </c>
    </row>
    <row r="2255" spans="1:3" x14ac:dyDescent="0.25">
      <c r="A2255" t="str">
        <f t="shared" si="55"/>
        <v>52</v>
      </c>
      <c r="B2255" t="str">
        <f>"52.0910"</f>
        <v>52.0910</v>
      </c>
      <c r="C2255" t="s">
        <v>2164</v>
      </c>
    </row>
    <row r="2256" spans="1:3" x14ac:dyDescent="0.25">
      <c r="A2256" t="str">
        <f t="shared" si="55"/>
        <v>52</v>
      </c>
      <c r="B2256" t="str">
        <f>"52.0999"</f>
        <v>52.0999</v>
      </c>
      <c r="C2256" t="s">
        <v>1721</v>
      </c>
    </row>
    <row r="2257" spans="1:3" x14ac:dyDescent="0.25">
      <c r="A2257" t="str">
        <f t="shared" si="55"/>
        <v>52</v>
      </c>
      <c r="B2257" t="str">
        <f>"52.10"</f>
        <v>52.10</v>
      </c>
      <c r="C2257" t="s">
        <v>1722</v>
      </c>
    </row>
    <row r="2258" spans="1:3" x14ac:dyDescent="0.25">
      <c r="A2258" t="str">
        <f t="shared" si="55"/>
        <v>52</v>
      </c>
      <c r="B2258" t="str">
        <f>"52.1001"</f>
        <v>52.1001</v>
      </c>
      <c r="C2258" t="s">
        <v>1723</v>
      </c>
    </row>
    <row r="2259" spans="1:3" x14ac:dyDescent="0.25">
      <c r="A2259" t="str">
        <f t="shared" si="55"/>
        <v>52</v>
      </c>
      <c r="B2259" t="str">
        <f>"52.1002"</f>
        <v>52.1002</v>
      </c>
      <c r="C2259" t="s">
        <v>1724</v>
      </c>
    </row>
    <row r="2260" spans="1:3" x14ac:dyDescent="0.25">
      <c r="A2260" t="str">
        <f t="shared" si="55"/>
        <v>52</v>
      </c>
      <c r="B2260" t="str">
        <f>"52.1003"</f>
        <v>52.1003</v>
      </c>
      <c r="C2260" t="s">
        <v>1725</v>
      </c>
    </row>
    <row r="2261" spans="1:3" x14ac:dyDescent="0.25">
      <c r="A2261" t="str">
        <f t="shared" si="55"/>
        <v>52</v>
      </c>
      <c r="B2261" t="str">
        <f>"52.1004"</f>
        <v>52.1004</v>
      </c>
      <c r="C2261" t="s">
        <v>1726</v>
      </c>
    </row>
    <row r="2262" spans="1:3" x14ac:dyDescent="0.25">
      <c r="A2262" t="str">
        <f t="shared" si="55"/>
        <v>52</v>
      </c>
      <c r="B2262" t="str">
        <f>"52.1005"</f>
        <v>52.1005</v>
      </c>
      <c r="C2262" t="s">
        <v>1727</v>
      </c>
    </row>
    <row r="2263" spans="1:3" x14ac:dyDescent="0.25">
      <c r="A2263" t="str">
        <f t="shared" si="55"/>
        <v>52</v>
      </c>
      <c r="B2263" t="str">
        <f>"52.1006"</f>
        <v>52.1006</v>
      </c>
      <c r="C2263" t="s">
        <v>2165</v>
      </c>
    </row>
    <row r="2264" spans="1:3" x14ac:dyDescent="0.25">
      <c r="A2264" t="str">
        <f t="shared" si="55"/>
        <v>52</v>
      </c>
      <c r="B2264" t="str">
        <f>"52.1099"</f>
        <v>52.1099</v>
      </c>
      <c r="C2264" t="s">
        <v>1728</v>
      </c>
    </row>
    <row r="2265" spans="1:3" x14ac:dyDescent="0.25">
      <c r="A2265" t="str">
        <f t="shared" si="55"/>
        <v>52</v>
      </c>
      <c r="B2265" t="str">
        <f>"52.11"</f>
        <v>52.11</v>
      </c>
      <c r="C2265" t="s">
        <v>1729</v>
      </c>
    </row>
    <row r="2266" spans="1:3" x14ac:dyDescent="0.25">
      <c r="A2266" t="str">
        <f t="shared" si="55"/>
        <v>52</v>
      </c>
      <c r="B2266" t="str">
        <f>"52.1101"</f>
        <v>52.1101</v>
      </c>
      <c r="C2266" t="s">
        <v>2166</v>
      </c>
    </row>
    <row r="2267" spans="1:3" x14ac:dyDescent="0.25">
      <c r="A2267" t="str">
        <f t="shared" si="55"/>
        <v>52</v>
      </c>
      <c r="B2267" t="str">
        <f>"52.12"</f>
        <v>52.12</v>
      </c>
      <c r="C2267" t="s">
        <v>1730</v>
      </c>
    </row>
    <row r="2268" spans="1:3" x14ac:dyDescent="0.25">
      <c r="A2268" t="str">
        <f t="shared" si="55"/>
        <v>52</v>
      </c>
      <c r="B2268" t="str">
        <f>"52.1201"</f>
        <v>52.1201</v>
      </c>
      <c r="C2268" t="s">
        <v>1731</v>
      </c>
    </row>
    <row r="2269" spans="1:3" x14ac:dyDescent="0.25">
      <c r="A2269" t="str">
        <f t="shared" si="55"/>
        <v>52</v>
      </c>
      <c r="B2269" t="str">
        <f>"52.1206"</f>
        <v>52.1206</v>
      </c>
      <c r="C2269" t="s">
        <v>1732</v>
      </c>
    </row>
    <row r="2270" spans="1:3" x14ac:dyDescent="0.25">
      <c r="A2270" t="str">
        <f t="shared" si="55"/>
        <v>52</v>
      </c>
      <c r="B2270" t="str">
        <f>"52.1207"</f>
        <v>52.1207</v>
      </c>
      <c r="C2270" t="s">
        <v>1733</v>
      </c>
    </row>
    <row r="2271" spans="1:3" x14ac:dyDescent="0.25">
      <c r="A2271" t="str">
        <f t="shared" si="55"/>
        <v>52</v>
      </c>
      <c r="B2271" t="str">
        <f>"52.1299"</f>
        <v>52.1299</v>
      </c>
      <c r="C2271" t="s">
        <v>1734</v>
      </c>
    </row>
    <row r="2272" spans="1:3" x14ac:dyDescent="0.25">
      <c r="A2272" t="str">
        <f t="shared" si="55"/>
        <v>52</v>
      </c>
      <c r="B2272" t="str">
        <f>"52.13"</f>
        <v>52.13</v>
      </c>
      <c r="C2272" t="s">
        <v>1735</v>
      </c>
    </row>
    <row r="2273" spans="1:3" x14ac:dyDescent="0.25">
      <c r="A2273" t="str">
        <f t="shared" si="55"/>
        <v>52</v>
      </c>
      <c r="B2273" t="str">
        <f>"52.1301"</f>
        <v>52.1301</v>
      </c>
      <c r="C2273" t="s">
        <v>1736</v>
      </c>
    </row>
    <row r="2274" spans="1:3" x14ac:dyDescent="0.25">
      <c r="A2274" t="str">
        <f t="shared" si="55"/>
        <v>52</v>
      </c>
      <c r="B2274" t="str">
        <f>"52.1302"</f>
        <v>52.1302</v>
      </c>
      <c r="C2274" t="s">
        <v>1737</v>
      </c>
    </row>
    <row r="2275" spans="1:3" x14ac:dyDescent="0.25">
      <c r="A2275" t="str">
        <f t="shared" si="55"/>
        <v>52</v>
      </c>
      <c r="B2275" t="str">
        <f>"52.1304"</f>
        <v>52.1304</v>
      </c>
      <c r="C2275" t="s">
        <v>1738</v>
      </c>
    </row>
    <row r="2276" spans="1:3" x14ac:dyDescent="0.25">
      <c r="A2276" t="str">
        <f t="shared" si="55"/>
        <v>52</v>
      </c>
      <c r="B2276" t="str">
        <f>"52.1399"</f>
        <v>52.1399</v>
      </c>
      <c r="C2276" t="s">
        <v>1739</v>
      </c>
    </row>
    <row r="2277" spans="1:3" x14ac:dyDescent="0.25">
      <c r="A2277" t="str">
        <f t="shared" si="55"/>
        <v>52</v>
      </c>
      <c r="B2277" t="str">
        <f>"52.14"</f>
        <v>52.14</v>
      </c>
      <c r="C2277" t="s">
        <v>1740</v>
      </c>
    </row>
    <row r="2278" spans="1:3" x14ac:dyDescent="0.25">
      <c r="A2278" t="str">
        <f t="shared" si="55"/>
        <v>52</v>
      </c>
      <c r="B2278" t="str">
        <f>"52.1401"</f>
        <v>52.1401</v>
      </c>
      <c r="C2278" t="s">
        <v>1741</v>
      </c>
    </row>
    <row r="2279" spans="1:3" x14ac:dyDescent="0.25">
      <c r="A2279" t="str">
        <f t="shared" si="55"/>
        <v>52</v>
      </c>
      <c r="B2279" t="str">
        <f>"52.1402"</f>
        <v>52.1402</v>
      </c>
      <c r="C2279" t="s">
        <v>1742</v>
      </c>
    </row>
    <row r="2280" spans="1:3" x14ac:dyDescent="0.25">
      <c r="A2280" t="str">
        <f t="shared" si="55"/>
        <v>52</v>
      </c>
      <c r="B2280" t="str">
        <f>"52.1403"</f>
        <v>52.1403</v>
      </c>
      <c r="C2280" t="s">
        <v>1743</v>
      </c>
    </row>
    <row r="2281" spans="1:3" x14ac:dyDescent="0.25">
      <c r="A2281" t="str">
        <f t="shared" si="55"/>
        <v>52</v>
      </c>
      <c r="B2281" t="str">
        <f>"52.1404"</f>
        <v>52.1404</v>
      </c>
      <c r="C2281" t="s">
        <v>2167</v>
      </c>
    </row>
    <row r="2282" spans="1:3" x14ac:dyDescent="0.25">
      <c r="A2282" t="str">
        <f t="shared" si="55"/>
        <v>52</v>
      </c>
      <c r="B2282" t="str">
        <f>"52.1499"</f>
        <v>52.1499</v>
      </c>
      <c r="C2282" t="s">
        <v>1744</v>
      </c>
    </row>
    <row r="2283" spans="1:3" x14ac:dyDescent="0.25">
      <c r="A2283" t="str">
        <f t="shared" si="55"/>
        <v>52</v>
      </c>
      <c r="B2283" t="str">
        <f>"52.15"</f>
        <v>52.15</v>
      </c>
      <c r="C2283" t="s">
        <v>1745</v>
      </c>
    </row>
    <row r="2284" spans="1:3" x14ac:dyDescent="0.25">
      <c r="A2284" t="str">
        <f t="shared" si="55"/>
        <v>52</v>
      </c>
      <c r="B2284" t="str">
        <f>"52.1501"</f>
        <v>52.1501</v>
      </c>
      <c r="C2284" t="s">
        <v>1745</v>
      </c>
    </row>
    <row r="2285" spans="1:3" x14ac:dyDescent="0.25">
      <c r="A2285" t="str">
        <f t="shared" si="55"/>
        <v>52</v>
      </c>
      <c r="B2285" t="str">
        <f>"52.16"</f>
        <v>52.16</v>
      </c>
      <c r="C2285" t="s">
        <v>1746</v>
      </c>
    </row>
    <row r="2286" spans="1:3" x14ac:dyDescent="0.25">
      <c r="A2286" t="str">
        <f t="shared" si="55"/>
        <v>52</v>
      </c>
      <c r="B2286" t="str">
        <f>"52.1601"</f>
        <v>52.1601</v>
      </c>
      <c r="C2286" t="s">
        <v>1746</v>
      </c>
    </row>
    <row r="2287" spans="1:3" x14ac:dyDescent="0.25">
      <c r="A2287" t="str">
        <f t="shared" si="55"/>
        <v>52</v>
      </c>
      <c r="B2287" t="str">
        <f>"52.17"</f>
        <v>52.17</v>
      </c>
      <c r="C2287" t="s">
        <v>1747</v>
      </c>
    </row>
    <row r="2288" spans="1:3" x14ac:dyDescent="0.25">
      <c r="A2288" t="str">
        <f t="shared" si="55"/>
        <v>52</v>
      </c>
      <c r="B2288" t="str">
        <f>"52.1701"</f>
        <v>52.1701</v>
      </c>
      <c r="C2288" t="s">
        <v>1747</v>
      </c>
    </row>
    <row r="2289" spans="1:3" x14ac:dyDescent="0.25">
      <c r="A2289" t="str">
        <f t="shared" si="55"/>
        <v>52</v>
      </c>
      <c r="B2289" t="str">
        <f>"52.18"</f>
        <v>52.18</v>
      </c>
      <c r="C2289" t="s">
        <v>1748</v>
      </c>
    </row>
    <row r="2290" spans="1:3" x14ac:dyDescent="0.25">
      <c r="A2290" t="str">
        <f t="shared" si="55"/>
        <v>52</v>
      </c>
      <c r="B2290" t="str">
        <f>"52.1801"</f>
        <v>52.1801</v>
      </c>
      <c r="C2290" t="s">
        <v>1749</v>
      </c>
    </row>
    <row r="2291" spans="1:3" x14ac:dyDescent="0.25">
      <c r="A2291" t="str">
        <f t="shared" si="55"/>
        <v>52</v>
      </c>
      <c r="B2291" t="str">
        <f>"52.1802"</f>
        <v>52.1802</v>
      </c>
      <c r="C2291" t="s">
        <v>1750</v>
      </c>
    </row>
    <row r="2292" spans="1:3" x14ac:dyDescent="0.25">
      <c r="A2292" t="str">
        <f t="shared" si="55"/>
        <v>52</v>
      </c>
      <c r="B2292" t="str">
        <f>"52.1803"</f>
        <v>52.1803</v>
      </c>
      <c r="C2292" t="s">
        <v>1751</v>
      </c>
    </row>
    <row r="2293" spans="1:3" x14ac:dyDescent="0.25">
      <c r="A2293" t="str">
        <f t="shared" si="55"/>
        <v>52</v>
      </c>
      <c r="B2293" t="str">
        <f>"52.1804"</f>
        <v>52.1804</v>
      </c>
      <c r="C2293" t="s">
        <v>1752</v>
      </c>
    </row>
    <row r="2294" spans="1:3" x14ac:dyDescent="0.25">
      <c r="A2294" t="str">
        <f t="shared" si="55"/>
        <v>52</v>
      </c>
      <c r="B2294" t="str">
        <f>"52.1880"</f>
        <v>52.1880</v>
      </c>
      <c r="C2294" t="s">
        <v>1797</v>
      </c>
    </row>
    <row r="2295" spans="1:3" x14ac:dyDescent="0.25">
      <c r="A2295" t="str">
        <f t="shared" si="55"/>
        <v>52</v>
      </c>
      <c r="B2295" t="str">
        <f>"52.1899"</f>
        <v>52.1899</v>
      </c>
      <c r="C2295" t="s">
        <v>1753</v>
      </c>
    </row>
    <row r="2296" spans="1:3" x14ac:dyDescent="0.25">
      <c r="A2296" t="str">
        <f t="shared" si="55"/>
        <v>52</v>
      </c>
      <c r="B2296" t="str">
        <f>"52.19"</f>
        <v>52.19</v>
      </c>
      <c r="C2296" t="s">
        <v>1754</v>
      </c>
    </row>
    <row r="2297" spans="1:3" x14ac:dyDescent="0.25">
      <c r="A2297" t="str">
        <f t="shared" si="55"/>
        <v>52</v>
      </c>
      <c r="B2297" t="str">
        <f>"52.1901"</f>
        <v>52.1901</v>
      </c>
      <c r="C2297" t="s">
        <v>1755</v>
      </c>
    </row>
    <row r="2298" spans="1:3" x14ac:dyDescent="0.25">
      <c r="A2298" t="str">
        <f t="shared" si="55"/>
        <v>52</v>
      </c>
      <c r="B2298" t="str">
        <f>"52.1902"</f>
        <v>52.1902</v>
      </c>
      <c r="C2298" t="s">
        <v>1756</v>
      </c>
    </row>
    <row r="2299" spans="1:3" x14ac:dyDescent="0.25">
      <c r="A2299" t="str">
        <f t="shared" si="55"/>
        <v>52</v>
      </c>
      <c r="B2299" t="str">
        <f>"52.1903"</f>
        <v>52.1903</v>
      </c>
      <c r="C2299" t="s">
        <v>1757</v>
      </c>
    </row>
    <row r="2300" spans="1:3" x14ac:dyDescent="0.25">
      <c r="A2300" t="str">
        <f t="shared" si="55"/>
        <v>52</v>
      </c>
      <c r="B2300" t="str">
        <f>"52.1904"</f>
        <v>52.1904</v>
      </c>
      <c r="C2300" t="s">
        <v>1758</v>
      </c>
    </row>
    <row r="2301" spans="1:3" x14ac:dyDescent="0.25">
      <c r="A2301" t="str">
        <f t="shared" si="55"/>
        <v>52</v>
      </c>
      <c r="B2301" t="str">
        <f>"52.1905"</f>
        <v>52.1905</v>
      </c>
      <c r="C2301" t="s">
        <v>1759</v>
      </c>
    </row>
    <row r="2302" spans="1:3" x14ac:dyDescent="0.25">
      <c r="A2302" t="str">
        <f t="shared" si="55"/>
        <v>52</v>
      </c>
      <c r="B2302" t="str">
        <f>"52.1906"</f>
        <v>52.1906</v>
      </c>
      <c r="C2302" t="s">
        <v>1760</v>
      </c>
    </row>
    <row r="2303" spans="1:3" x14ac:dyDescent="0.25">
      <c r="A2303" t="str">
        <f t="shared" si="55"/>
        <v>52</v>
      </c>
      <c r="B2303" t="str">
        <f>"52.1907"</f>
        <v>52.1907</v>
      </c>
      <c r="C2303" t="s">
        <v>1761</v>
      </c>
    </row>
    <row r="2304" spans="1:3" x14ac:dyDescent="0.25">
      <c r="A2304" t="str">
        <f t="shared" si="55"/>
        <v>52</v>
      </c>
      <c r="B2304" t="str">
        <f>"52.1908"</f>
        <v>52.1908</v>
      </c>
      <c r="C2304" t="s">
        <v>1762</v>
      </c>
    </row>
    <row r="2305" spans="1:3" x14ac:dyDescent="0.25">
      <c r="A2305" t="str">
        <f t="shared" si="55"/>
        <v>52</v>
      </c>
      <c r="B2305" t="str">
        <f>"52.1909"</f>
        <v>52.1909</v>
      </c>
      <c r="C2305" t="s">
        <v>1763</v>
      </c>
    </row>
    <row r="2306" spans="1:3" x14ac:dyDescent="0.25">
      <c r="A2306" t="str">
        <f t="shared" si="55"/>
        <v>52</v>
      </c>
      <c r="B2306" t="str">
        <f>"52.1910"</f>
        <v>52.1910</v>
      </c>
      <c r="C2306" t="s">
        <v>1764</v>
      </c>
    </row>
    <row r="2307" spans="1:3" x14ac:dyDescent="0.25">
      <c r="A2307" t="str">
        <f t="shared" si="55"/>
        <v>52</v>
      </c>
      <c r="B2307" t="str">
        <f>"52.1980"</f>
        <v>52.1980</v>
      </c>
      <c r="C2307" t="s">
        <v>1797</v>
      </c>
    </row>
    <row r="2308" spans="1:3" x14ac:dyDescent="0.25">
      <c r="A2308" t="str">
        <f t="shared" si="55"/>
        <v>52</v>
      </c>
      <c r="B2308" t="str">
        <f>"52.1999"</f>
        <v>52.1999</v>
      </c>
      <c r="C2308" t="s">
        <v>1765</v>
      </c>
    </row>
    <row r="2309" spans="1:3" x14ac:dyDescent="0.25">
      <c r="A2309" t="str">
        <f t="shared" si="55"/>
        <v>52</v>
      </c>
      <c r="B2309" t="str">
        <f>"52.20"</f>
        <v>52.20</v>
      </c>
      <c r="C2309" t="s">
        <v>1766</v>
      </c>
    </row>
    <row r="2310" spans="1:3" x14ac:dyDescent="0.25">
      <c r="A2310" t="str">
        <f t="shared" si="55"/>
        <v>52</v>
      </c>
      <c r="B2310" t="str">
        <f>"52.2001"</f>
        <v>52.2001</v>
      </c>
      <c r="C2310" t="s">
        <v>2168</v>
      </c>
    </row>
    <row r="2311" spans="1:3" x14ac:dyDescent="0.25">
      <c r="A2311" t="str">
        <f t="shared" si="55"/>
        <v>52</v>
      </c>
      <c r="B2311" t="str">
        <f>"52.2002"</f>
        <v>52.2002</v>
      </c>
      <c r="C2311" t="s">
        <v>2169</v>
      </c>
    </row>
    <row r="2312" spans="1:3" x14ac:dyDescent="0.25">
      <c r="A2312" t="str">
        <f t="shared" si="55"/>
        <v>52</v>
      </c>
      <c r="B2312" t="str">
        <f>"52.2099"</f>
        <v>52.2099</v>
      </c>
      <c r="C2312" t="s">
        <v>2170</v>
      </c>
    </row>
    <row r="2313" spans="1:3" x14ac:dyDescent="0.25">
      <c r="A2313" t="str">
        <f t="shared" si="55"/>
        <v>52</v>
      </c>
      <c r="B2313" t="str">
        <f>"52.21"</f>
        <v>52.21</v>
      </c>
      <c r="C2313" t="s">
        <v>1767</v>
      </c>
    </row>
    <row r="2314" spans="1:3" x14ac:dyDescent="0.25">
      <c r="A2314" t="str">
        <f t="shared" si="55"/>
        <v>52</v>
      </c>
      <c r="B2314" t="str">
        <f>"52.2101"</f>
        <v>52.2101</v>
      </c>
      <c r="C2314" t="s">
        <v>1767</v>
      </c>
    </row>
    <row r="2315" spans="1:3" x14ac:dyDescent="0.25">
      <c r="A2315" t="str">
        <f t="shared" ref="A2315:A2316" si="56">"52"</f>
        <v>52</v>
      </c>
      <c r="B2315" t="str">
        <f>"52.99"</f>
        <v>52.99</v>
      </c>
      <c r="C2315" t="s">
        <v>1768</v>
      </c>
    </row>
    <row r="2316" spans="1:3" x14ac:dyDescent="0.25">
      <c r="A2316" t="str">
        <f t="shared" si="56"/>
        <v>52</v>
      </c>
      <c r="B2316" t="str">
        <f>"52.9999"</f>
        <v>52.9999</v>
      </c>
      <c r="C2316" t="s">
        <v>1768</v>
      </c>
    </row>
    <row r="2317" spans="1:3" x14ac:dyDescent="0.25">
      <c r="A2317" t="str">
        <f>"53"</f>
        <v>53</v>
      </c>
      <c r="B2317" t="str">
        <f>"53"</f>
        <v>53</v>
      </c>
      <c r="C2317" t="s">
        <v>2171</v>
      </c>
    </row>
    <row r="2318" spans="1:3" x14ac:dyDescent="0.25">
      <c r="A2318" t="str">
        <f t="shared" ref="A2318:A2329" si="57">"53"</f>
        <v>53</v>
      </c>
      <c r="B2318" t="str">
        <f>"53.01"</f>
        <v>53.01</v>
      </c>
      <c r="C2318" t="s">
        <v>2172</v>
      </c>
    </row>
    <row r="2319" spans="1:3" x14ac:dyDescent="0.25">
      <c r="A2319" t="str">
        <f t="shared" si="57"/>
        <v>53</v>
      </c>
      <c r="B2319" t="str">
        <f>"53.0101"</f>
        <v>53.0101</v>
      </c>
      <c r="C2319" t="s">
        <v>2173</v>
      </c>
    </row>
    <row r="2320" spans="1:3" x14ac:dyDescent="0.25">
      <c r="A2320" t="str">
        <f t="shared" si="57"/>
        <v>53</v>
      </c>
      <c r="B2320" t="str">
        <f>"53.0102"</f>
        <v>53.0102</v>
      </c>
      <c r="C2320" t="s">
        <v>2174</v>
      </c>
    </row>
    <row r="2321" spans="1:3" x14ac:dyDescent="0.25">
      <c r="A2321" t="str">
        <f t="shared" si="57"/>
        <v>53</v>
      </c>
      <c r="B2321" t="str">
        <f>"53.0103"</f>
        <v>53.0103</v>
      </c>
      <c r="C2321" t="s">
        <v>2175</v>
      </c>
    </row>
    <row r="2322" spans="1:3" x14ac:dyDescent="0.25">
      <c r="A2322" t="str">
        <f t="shared" si="57"/>
        <v>53</v>
      </c>
      <c r="B2322" t="str">
        <f>"53.0104"</f>
        <v>53.0104</v>
      </c>
      <c r="C2322" t="s">
        <v>2176</v>
      </c>
    </row>
    <row r="2323" spans="1:3" x14ac:dyDescent="0.25">
      <c r="A2323" t="str">
        <f t="shared" si="57"/>
        <v>53</v>
      </c>
      <c r="B2323" t="str">
        <f>"53.0105"</f>
        <v>53.0105</v>
      </c>
      <c r="C2323" t="s">
        <v>2177</v>
      </c>
    </row>
    <row r="2324" spans="1:3" x14ac:dyDescent="0.25">
      <c r="A2324" t="str">
        <f t="shared" si="57"/>
        <v>53</v>
      </c>
      <c r="B2324" t="str">
        <f>"53.0199"</f>
        <v>53.0199</v>
      </c>
      <c r="C2324" t="s">
        <v>2178</v>
      </c>
    </row>
    <row r="2325" spans="1:3" x14ac:dyDescent="0.25">
      <c r="A2325" t="str">
        <f t="shared" si="57"/>
        <v>53</v>
      </c>
      <c r="B2325" t="str">
        <f>"53.02"</f>
        <v>53.02</v>
      </c>
      <c r="C2325" t="s">
        <v>2179</v>
      </c>
    </row>
    <row r="2326" spans="1:3" x14ac:dyDescent="0.25">
      <c r="A2326" t="str">
        <f t="shared" si="57"/>
        <v>53</v>
      </c>
      <c r="B2326" t="str">
        <f>"53.0201"</f>
        <v>53.0201</v>
      </c>
      <c r="C2326" t="s">
        <v>2180</v>
      </c>
    </row>
    <row r="2327" spans="1:3" x14ac:dyDescent="0.25">
      <c r="A2327" t="str">
        <f t="shared" si="57"/>
        <v>53</v>
      </c>
      <c r="B2327" t="str">
        <f>"53.0202"</f>
        <v>53.0202</v>
      </c>
      <c r="C2327" t="s">
        <v>2181</v>
      </c>
    </row>
    <row r="2328" spans="1:3" x14ac:dyDescent="0.25">
      <c r="A2328" t="str">
        <f t="shared" si="57"/>
        <v>53</v>
      </c>
      <c r="B2328" t="str">
        <f>"53.0203"</f>
        <v>53.0203</v>
      </c>
      <c r="C2328" t="s">
        <v>2182</v>
      </c>
    </row>
    <row r="2329" spans="1:3" x14ac:dyDescent="0.25">
      <c r="A2329" t="str">
        <f t="shared" si="57"/>
        <v>53</v>
      </c>
      <c r="B2329" t="str">
        <f>"53.0299"</f>
        <v>53.0299</v>
      </c>
      <c r="C2329" t="s">
        <v>2183</v>
      </c>
    </row>
    <row r="2330" spans="1:3" x14ac:dyDescent="0.25">
      <c r="A2330" t="str">
        <f>"54"</f>
        <v>54</v>
      </c>
      <c r="B2330" t="str">
        <f>"54"</f>
        <v>54</v>
      </c>
      <c r="C2330" t="s">
        <v>1769</v>
      </c>
    </row>
    <row r="2331" spans="1:3" x14ac:dyDescent="0.25">
      <c r="A2331" t="str">
        <f t="shared" ref="A2331:A2340" si="58">"54"</f>
        <v>54</v>
      </c>
      <c r="B2331" t="str">
        <f>"54.01"</f>
        <v>54.01</v>
      </c>
      <c r="C2331" t="s">
        <v>1770</v>
      </c>
    </row>
    <row r="2332" spans="1:3" x14ac:dyDescent="0.25">
      <c r="A2332" t="str">
        <f t="shared" si="58"/>
        <v>54</v>
      </c>
      <c r="B2332" t="str">
        <f>"54.0101"</f>
        <v>54.0101</v>
      </c>
      <c r="C2332" t="s">
        <v>1771</v>
      </c>
    </row>
    <row r="2333" spans="1:3" x14ac:dyDescent="0.25">
      <c r="A2333" t="str">
        <f t="shared" si="58"/>
        <v>54</v>
      </c>
      <c r="B2333" t="str">
        <f>"54.0102"</f>
        <v>54.0102</v>
      </c>
      <c r="C2333" t="s">
        <v>1772</v>
      </c>
    </row>
    <row r="2334" spans="1:3" x14ac:dyDescent="0.25">
      <c r="A2334" t="str">
        <f t="shared" si="58"/>
        <v>54</v>
      </c>
      <c r="B2334" t="str">
        <f>"54.0103"</f>
        <v>54.0103</v>
      </c>
      <c r="C2334" t="s">
        <v>1773</v>
      </c>
    </row>
    <row r="2335" spans="1:3" x14ac:dyDescent="0.25">
      <c r="A2335" t="str">
        <f t="shared" si="58"/>
        <v>54</v>
      </c>
      <c r="B2335" t="str">
        <f>"54.0104"</f>
        <v>54.0104</v>
      </c>
      <c r="C2335" t="s">
        <v>1774</v>
      </c>
    </row>
    <row r="2336" spans="1:3" x14ac:dyDescent="0.25">
      <c r="A2336" t="str">
        <f t="shared" si="58"/>
        <v>54</v>
      </c>
      <c r="B2336" t="str">
        <f>"54.0105"</f>
        <v>54.0105</v>
      </c>
      <c r="C2336" t="s">
        <v>1775</v>
      </c>
    </row>
    <row r="2337" spans="1:3" x14ac:dyDescent="0.25">
      <c r="A2337" t="str">
        <f t="shared" si="58"/>
        <v>54</v>
      </c>
      <c r="B2337" t="str">
        <f>"54.0106"</f>
        <v>54.0106</v>
      </c>
      <c r="C2337" t="s">
        <v>1776</v>
      </c>
    </row>
    <row r="2338" spans="1:3" x14ac:dyDescent="0.25">
      <c r="A2338" t="str">
        <f t="shared" si="58"/>
        <v>54</v>
      </c>
      <c r="B2338" t="str">
        <f>"54.0107"</f>
        <v>54.0107</v>
      </c>
      <c r="C2338" t="s">
        <v>1777</v>
      </c>
    </row>
    <row r="2339" spans="1:3" x14ac:dyDescent="0.25">
      <c r="A2339" t="str">
        <f t="shared" si="58"/>
        <v>54</v>
      </c>
      <c r="B2339" t="str">
        <f>"54.0108"</f>
        <v>54.0108</v>
      </c>
      <c r="C2339" t="s">
        <v>1778</v>
      </c>
    </row>
    <row r="2340" spans="1:3" x14ac:dyDescent="0.25">
      <c r="A2340" t="str">
        <f t="shared" si="58"/>
        <v>54</v>
      </c>
      <c r="B2340" t="str">
        <f>"54.0199"</f>
        <v>54.0199</v>
      </c>
      <c r="C2340" t="s">
        <v>1779</v>
      </c>
    </row>
    <row r="2341" spans="1:3" x14ac:dyDescent="0.25">
      <c r="A2341" t="str">
        <f>"55"</f>
        <v>55</v>
      </c>
      <c r="B2341" t="str">
        <f>"55"</f>
        <v>55</v>
      </c>
      <c r="C2341" t="s">
        <v>1934</v>
      </c>
    </row>
    <row r="2342" spans="1:3" x14ac:dyDescent="0.25">
      <c r="A2342" t="str">
        <f t="shared" ref="A2342:A2357" si="59">"55"</f>
        <v>55</v>
      </c>
      <c r="B2342" t="str">
        <f>"55.01"</f>
        <v>55.01</v>
      </c>
      <c r="C2342" t="s">
        <v>1797</v>
      </c>
    </row>
    <row r="2343" spans="1:3" x14ac:dyDescent="0.25">
      <c r="A2343" t="str">
        <f t="shared" si="59"/>
        <v>55</v>
      </c>
      <c r="B2343" t="str">
        <f>"55.0101"</f>
        <v>55.0101</v>
      </c>
      <c r="C2343" t="s">
        <v>1797</v>
      </c>
    </row>
    <row r="2344" spans="1:3" x14ac:dyDescent="0.25">
      <c r="A2344" t="str">
        <f t="shared" si="59"/>
        <v>55</v>
      </c>
      <c r="B2344" t="str">
        <f>"55.13"</f>
        <v>55.13</v>
      </c>
      <c r="C2344" t="s">
        <v>1797</v>
      </c>
    </row>
    <row r="2345" spans="1:3" x14ac:dyDescent="0.25">
      <c r="A2345" t="str">
        <f t="shared" si="59"/>
        <v>55</v>
      </c>
      <c r="B2345" t="str">
        <f>"55.1301"</f>
        <v>55.1301</v>
      </c>
      <c r="C2345" t="s">
        <v>1797</v>
      </c>
    </row>
    <row r="2346" spans="1:3" x14ac:dyDescent="0.25">
      <c r="A2346" t="str">
        <f t="shared" si="59"/>
        <v>55</v>
      </c>
      <c r="B2346" t="str">
        <f>"55.1302"</f>
        <v>55.1302</v>
      </c>
      <c r="C2346" t="s">
        <v>1797</v>
      </c>
    </row>
    <row r="2347" spans="1:3" x14ac:dyDescent="0.25">
      <c r="A2347" t="str">
        <f t="shared" si="59"/>
        <v>55</v>
      </c>
      <c r="B2347" t="str">
        <f>"55.1303"</f>
        <v>55.1303</v>
      </c>
      <c r="C2347" t="s">
        <v>1797</v>
      </c>
    </row>
    <row r="2348" spans="1:3" x14ac:dyDescent="0.25">
      <c r="A2348" t="str">
        <f t="shared" si="59"/>
        <v>55</v>
      </c>
      <c r="B2348" t="str">
        <f>"55.1304"</f>
        <v>55.1304</v>
      </c>
      <c r="C2348" t="s">
        <v>1797</v>
      </c>
    </row>
    <row r="2349" spans="1:3" x14ac:dyDescent="0.25">
      <c r="A2349" t="str">
        <f t="shared" si="59"/>
        <v>55</v>
      </c>
      <c r="B2349" t="str">
        <f>"55.1399"</f>
        <v>55.1399</v>
      </c>
      <c r="C2349" t="s">
        <v>1797</v>
      </c>
    </row>
    <row r="2350" spans="1:3" x14ac:dyDescent="0.25">
      <c r="A2350" t="str">
        <f t="shared" si="59"/>
        <v>55</v>
      </c>
      <c r="B2350" t="str">
        <f>"55.14"</f>
        <v>55.14</v>
      </c>
      <c r="C2350" t="s">
        <v>1797</v>
      </c>
    </row>
    <row r="2351" spans="1:3" x14ac:dyDescent="0.25">
      <c r="A2351" t="str">
        <f t="shared" si="59"/>
        <v>55</v>
      </c>
      <c r="B2351" t="str">
        <f>"55.1401"</f>
        <v>55.1401</v>
      </c>
      <c r="C2351" t="s">
        <v>1797</v>
      </c>
    </row>
    <row r="2352" spans="1:3" x14ac:dyDescent="0.25">
      <c r="A2352" t="str">
        <f t="shared" si="59"/>
        <v>55</v>
      </c>
      <c r="B2352" t="str">
        <f>"55.1403"</f>
        <v>55.1403</v>
      </c>
      <c r="C2352" t="s">
        <v>1797</v>
      </c>
    </row>
    <row r="2353" spans="1:3" x14ac:dyDescent="0.25">
      <c r="A2353" t="str">
        <f t="shared" si="59"/>
        <v>55</v>
      </c>
      <c r="B2353" t="str">
        <f>"55.1404"</f>
        <v>55.1404</v>
      </c>
      <c r="C2353" t="s">
        <v>1797</v>
      </c>
    </row>
    <row r="2354" spans="1:3" x14ac:dyDescent="0.25">
      <c r="A2354" t="str">
        <f t="shared" si="59"/>
        <v>55</v>
      </c>
      <c r="B2354" t="str">
        <f>"55.1405"</f>
        <v>55.1405</v>
      </c>
      <c r="C2354" t="s">
        <v>1797</v>
      </c>
    </row>
    <row r="2355" spans="1:3" x14ac:dyDescent="0.25">
      <c r="A2355" t="str">
        <f t="shared" si="59"/>
        <v>55</v>
      </c>
      <c r="B2355" t="str">
        <f>"55.1499"</f>
        <v>55.1499</v>
      </c>
      <c r="C2355" t="s">
        <v>1797</v>
      </c>
    </row>
    <row r="2356" spans="1:3" x14ac:dyDescent="0.25">
      <c r="A2356" t="str">
        <f t="shared" si="59"/>
        <v>55</v>
      </c>
      <c r="B2356" t="str">
        <f>"55.99"</f>
        <v>55.99</v>
      </c>
      <c r="C2356" t="s">
        <v>1797</v>
      </c>
    </row>
    <row r="2357" spans="1:3" x14ac:dyDescent="0.25">
      <c r="A2357" t="str">
        <f t="shared" si="59"/>
        <v>55</v>
      </c>
      <c r="B2357" t="str">
        <f>"55.9999"</f>
        <v>55.9999</v>
      </c>
      <c r="C2357" t="s">
        <v>1797</v>
      </c>
    </row>
    <row r="2358" spans="1:3" x14ac:dyDescent="0.25">
      <c r="A2358" t="str">
        <f>"60"</f>
        <v>60</v>
      </c>
      <c r="B2358" t="str">
        <f>"60"</f>
        <v>60</v>
      </c>
      <c r="C2358" t="s">
        <v>2184</v>
      </c>
    </row>
    <row r="2359" spans="1:3" x14ac:dyDescent="0.25">
      <c r="A2359" t="str">
        <f t="shared" ref="A2359:A2422" si="60">"60"</f>
        <v>60</v>
      </c>
      <c r="B2359" t="str">
        <f>"60.01"</f>
        <v>60.01</v>
      </c>
      <c r="C2359" t="s">
        <v>2185</v>
      </c>
    </row>
    <row r="2360" spans="1:3" x14ac:dyDescent="0.25">
      <c r="A2360" t="str">
        <f t="shared" si="60"/>
        <v>60</v>
      </c>
      <c r="B2360" t="str">
        <f>"60.0101"</f>
        <v>60.0101</v>
      </c>
      <c r="C2360" t="s">
        <v>2186</v>
      </c>
    </row>
    <row r="2361" spans="1:3" x14ac:dyDescent="0.25">
      <c r="A2361" t="str">
        <f t="shared" si="60"/>
        <v>60</v>
      </c>
      <c r="B2361" t="str">
        <f>"60.0102"</f>
        <v>60.0102</v>
      </c>
      <c r="C2361" t="s">
        <v>2187</v>
      </c>
    </row>
    <row r="2362" spans="1:3" x14ac:dyDescent="0.25">
      <c r="A2362" t="str">
        <f t="shared" si="60"/>
        <v>60</v>
      </c>
      <c r="B2362" t="str">
        <f>"60.0103"</f>
        <v>60.0103</v>
      </c>
      <c r="C2362" t="s">
        <v>2188</v>
      </c>
    </row>
    <row r="2363" spans="1:3" x14ac:dyDescent="0.25">
      <c r="A2363" t="str">
        <f t="shared" si="60"/>
        <v>60</v>
      </c>
      <c r="B2363" t="str">
        <f>"60.0104"</f>
        <v>60.0104</v>
      </c>
      <c r="C2363" t="s">
        <v>2189</v>
      </c>
    </row>
    <row r="2364" spans="1:3" x14ac:dyDescent="0.25">
      <c r="A2364" t="str">
        <f t="shared" si="60"/>
        <v>60</v>
      </c>
      <c r="B2364" t="str">
        <f>"60.0105"</f>
        <v>60.0105</v>
      </c>
      <c r="C2364" t="s">
        <v>2190</v>
      </c>
    </row>
    <row r="2365" spans="1:3" x14ac:dyDescent="0.25">
      <c r="A2365" t="str">
        <f t="shared" si="60"/>
        <v>60</v>
      </c>
      <c r="B2365" t="str">
        <f>"60.0106"</f>
        <v>60.0106</v>
      </c>
      <c r="C2365" t="s">
        <v>2191</v>
      </c>
    </row>
    <row r="2366" spans="1:3" x14ac:dyDescent="0.25">
      <c r="A2366" t="str">
        <f t="shared" si="60"/>
        <v>60</v>
      </c>
      <c r="B2366" t="str">
        <f>"60.0107"</f>
        <v>60.0107</v>
      </c>
      <c r="C2366" t="s">
        <v>2192</v>
      </c>
    </row>
    <row r="2367" spans="1:3" x14ac:dyDescent="0.25">
      <c r="A2367" t="str">
        <f t="shared" si="60"/>
        <v>60</v>
      </c>
      <c r="B2367" t="str">
        <f>"60.0108"</f>
        <v>60.0108</v>
      </c>
      <c r="C2367" t="s">
        <v>2193</v>
      </c>
    </row>
    <row r="2368" spans="1:3" x14ac:dyDescent="0.25">
      <c r="A2368" t="str">
        <f t="shared" si="60"/>
        <v>60</v>
      </c>
      <c r="B2368" t="str">
        <f>"60.0109"</f>
        <v>60.0109</v>
      </c>
      <c r="C2368" t="s">
        <v>2194</v>
      </c>
    </row>
    <row r="2369" spans="1:3" x14ac:dyDescent="0.25">
      <c r="A2369" t="str">
        <f t="shared" si="60"/>
        <v>60</v>
      </c>
      <c r="B2369" t="str">
        <f>"60.0110"</f>
        <v>60.0110</v>
      </c>
      <c r="C2369" t="s">
        <v>2195</v>
      </c>
    </row>
    <row r="2370" spans="1:3" x14ac:dyDescent="0.25">
      <c r="A2370" t="str">
        <f t="shared" si="60"/>
        <v>60</v>
      </c>
      <c r="B2370" t="str">
        <f>"60.0199"</f>
        <v>60.0199</v>
      </c>
      <c r="C2370" t="s">
        <v>2196</v>
      </c>
    </row>
    <row r="2371" spans="1:3" x14ac:dyDescent="0.25">
      <c r="A2371" t="str">
        <f t="shared" si="60"/>
        <v>60</v>
      </c>
      <c r="B2371" t="str">
        <f>"60.03"</f>
        <v>60.03</v>
      </c>
      <c r="C2371" t="s">
        <v>2197</v>
      </c>
    </row>
    <row r="2372" spans="1:3" x14ac:dyDescent="0.25">
      <c r="A2372" t="str">
        <f t="shared" si="60"/>
        <v>60</v>
      </c>
      <c r="B2372" t="str">
        <f>"60.0301"</f>
        <v>60.0301</v>
      </c>
      <c r="C2372" t="s">
        <v>2198</v>
      </c>
    </row>
    <row r="2373" spans="1:3" x14ac:dyDescent="0.25">
      <c r="A2373" t="str">
        <f t="shared" si="60"/>
        <v>60</v>
      </c>
      <c r="B2373" t="str">
        <f>"60.0302"</f>
        <v>60.0302</v>
      </c>
      <c r="C2373" t="s">
        <v>2199</v>
      </c>
    </row>
    <row r="2374" spans="1:3" x14ac:dyDescent="0.25">
      <c r="A2374" t="str">
        <f t="shared" si="60"/>
        <v>60</v>
      </c>
      <c r="B2374" t="str">
        <f>"60.0303"</f>
        <v>60.0303</v>
      </c>
      <c r="C2374" t="s">
        <v>2200</v>
      </c>
    </row>
    <row r="2375" spans="1:3" x14ac:dyDescent="0.25">
      <c r="A2375" t="str">
        <f t="shared" si="60"/>
        <v>60</v>
      </c>
      <c r="B2375" t="str">
        <f>"60.0304"</f>
        <v>60.0304</v>
      </c>
      <c r="C2375" t="s">
        <v>2201</v>
      </c>
    </row>
    <row r="2376" spans="1:3" x14ac:dyDescent="0.25">
      <c r="A2376" t="str">
        <f t="shared" si="60"/>
        <v>60</v>
      </c>
      <c r="B2376" t="str">
        <f>"60.0305"</f>
        <v>60.0305</v>
      </c>
      <c r="C2376" t="s">
        <v>2202</v>
      </c>
    </row>
    <row r="2377" spans="1:3" x14ac:dyDescent="0.25">
      <c r="A2377" t="str">
        <f t="shared" si="60"/>
        <v>60</v>
      </c>
      <c r="B2377" t="str">
        <f>"60.0306"</f>
        <v>60.0306</v>
      </c>
      <c r="C2377" t="s">
        <v>2203</v>
      </c>
    </row>
    <row r="2378" spans="1:3" x14ac:dyDescent="0.25">
      <c r="A2378" t="str">
        <f t="shared" si="60"/>
        <v>60</v>
      </c>
      <c r="B2378" t="str">
        <f>"60.0307"</f>
        <v>60.0307</v>
      </c>
      <c r="C2378" t="s">
        <v>2204</v>
      </c>
    </row>
    <row r="2379" spans="1:3" x14ac:dyDescent="0.25">
      <c r="A2379" t="str">
        <f t="shared" si="60"/>
        <v>60</v>
      </c>
      <c r="B2379" t="str">
        <f>"60.0308"</f>
        <v>60.0308</v>
      </c>
      <c r="C2379" t="s">
        <v>2205</v>
      </c>
    </row>
    <row r="2380" spans="1:3" x14ac:dyDescent="0.25">
      <c r="A2380" t="str">
        <f t="shared" si="60"/>
        <v>60</v>
      </c>
      <c r="B2380" t="str">
        <f>"60.0309"</f>
        <v>60.0309</v>
      </c>
      <c r="C2380" t="s">
        <v>2206</v>
      </c>
    </row>
    <row r="2381" spans="1:3" x14ac:dyDescent="0.25">
      <c r="A2381" t="str">
        <f t="shared" si="60"/>
        <v>60</v>
      </c>
      <c r="B2381" t="str">
        <f>"60.0310"</f>
        <v>60.0310</v>
      </c>
      <c r="C2381" t="s">
        <v>2207</v>
      </c>
    </row>
    <row r="2382" spans="1:3" x14ac:dyDescent="0.25">
      <c r="A2382" t="str">
        <f t="shared" si="60"/>
        <v>60</v>
      </c>
      <c r="B2382" t="str">
        <f>"60.0311"</f>
        <v>60.0311</v>
      </c>
      <c r="C2382" t="s">
        <v>2208</v>
      </c>
    </row>
    <row r="2383" spans="1:3" x14ac:dyDescent="0.25">
      <c r="A2383" t="str">
        <f t="shared" si="60"/>
        <v>60</v>
      </c>
      <c r="B2383" t="str">
        <f>"60.0312"</f>
        <v>60.0312</v>
      </c>
      <c r="C2383" t="s">
        <v>2209</v>
      </c>
    </row>
    <row r="2384" spans="1:3" x14ac:dyDescent="0.25">
      <c r="A2384" t="str">
        <f t="shared" si="60"/>
        <v>60</v>
      </c>
      <c r="B2384" t="str">
        <f>"60.0313"</f>
        <v>60.0313</v>
      </c>
      <c r="C2384" t="s">
        <v>2210</v>
      </c>
    </row>
    <row r="2385" spans="1:3" x14ac:dyDescent="0.25">
      <c r="A2385" t="str">
        <f t="shared" si="60"/>
        <v>60</v>
      </c>
      <c r="B2385" t="str">
        <f>"60.0314"</f>
        <v>60.0314</v>
      </c>
      <c r="C2385" t="s">
        <v>2211</v>
      </c>
    </row>
    <row r="2386" spans="1:3" x14ac:dyDescent="0.25">
      <c r="A2386" t="str">
        <f t="shared" si="60"/>
        <v>60</v>
      </c>
      <c r="B2386" t="str">
        <f>"60.0315"</f>
        <v>60.0315</v>
      </c>
      <c r="C2386" t="s">
        <v>2212</v>
      </c>
    </row>
    <row r="2387" spans="1:3" x14ac:dyDescent="0.25">
      <c r="A2387" t="str">
        <f t="shared" si="60"/>
        <v>60</v>
      </c>
      <c r="B2387" t="str">
        <f>"60.0316"</f>
        <v>60.0316</v>
      </c>
      <c r="C2387" t="s">
        <v>2213</v>
      </c>
    </row>
    <row r="2388" spans="1:3" x14ac:dyDescent="0.25">
      <c r="A2388" t="str">
        <f t="shared" si="60"/>
        <v>60</v>
      </c>
      <c r="B2388" t="str">
        <f>"60.0317"</f>
        <v>60.0317</v>
      </c>
      <c r="C2388" t="s">
        <v>2214</v>
      </c>
    </row>
    <row r="2389" spans="1:3" x14ac:dyDescent="0.25">
      <c r="A2389" t="str">
        <f t="shared" si="60"/>
        <v>60</v>
      </c>
      <c r="B2389" t="str">
        <f>"60.0318"</f>
        <v>60.0318</v>
      </c>
      <c r="C2389" t="s">
        <v>2215</v>
      </c>
    </row>
    <row r="2390" spans="1:3" x14ac:dyDescent="0.25">
      <c r="A2390" t="str">
        <f t="shared" si="60"/>
        <v>60</v>
      </c>
      <c r="B2390" t="str">
        <f>"60.0319"</f>
        <v>60.0319</v>
      </c>
      <c r="C2390" t="s">
        <v>2216</v>
      </c>
    </row>
    <row r="2391" spans="1:3" x14ac:dyDescent="0.25">
      <c r="A2391" t="str">
        <f t="shared" si="60"/>
        <v>60</v>
      </c>
      <c r="B2391" t="str">
        <f>"60.0320"</f>
        <v>60.0320</v>
      </c>
      <c r="C2391" t="s">
        <v>2217</v>
      </c>
    </row>
    <row r="2392" spans="1:3" x14ac:dyDescent="0.25">
      <c r="A2392" t="str">
        <f t="shared" si="60"/>
        <v>60</v>
      </c>
      <c r="B2392" t="str">
        <f>"60.0399"</f>
        <v>60.0399</v>
      </c>
      <c r="C2392" t="s">
        <v>2218</v>
      </c>
    </row>
    <row r="2393" spans="1:3" x14ac:dyDescent="0.25">
      <c r="A2393" t="str">
        <f t="shared" si="60"/>
        <v>60</v>
      </c>
      <c r="B2393" t="str">
        <f>"60.04"</f>
        <v>60.04</v>
      </c>
      <c r="C2393" t="s">
        <v>2219</v>
      </c>
    </row>
    <row r="2394" spans="1:3" x14ac:dyDescent="0.25">
      <c r="A2394" t="str">
        <f t="shared" si="60"/>
        <v>60</v>
      </c>
      <c r="B2394" t="str">
        <f>"60.0401"</f>
        <v>60.0401</v>
      </c>
      <c r="C2394" t="s">
        <v>2220</v>
      </c>
    </row>
    <row r="2395" spans="1:3" x14ac:dyDescent="0.25">
      <c r="A2395" t="str">
        <f t="shared" si="60"/>
        <v>60</v>
      </c>
      <c r="B2395" t="str">
        <f>"60.0402"</f>
        <v>60.0402</v>
      </c>
      <c r="C2395" t="s">
        <v>2221</v>
      </c>
    </row>
    <row r="2396" spans="1:3" x14ac:dyDescent="0.25">
      <c r="A2396" t="str">
        <f t="shared" si="60"/>
        <v>60</v>
      </c>
      <c r="B2396" t="str">
        <f>"60.0403"</f>
        <v>60.0403</v>
      </c>
      <c r="C2396" t="s">
        <v>2222</v>
      </c>
    </row>
    <row r="2397" spans="1:3" x14ac:dyDescent="0.25">
      <c r="A2397" t="str">
        <f t="shared" si="60"/>
        <v>60</v>
      </c>
      <c r="B2397" t="str">
        <f>"60.0404"</f>
        <v>60.0404</v>
      </c>
      <c r="C2397" t="s">
        <v>2223</v>
      </c>
    </row>
    <row r="2398" spans="1:3" x14ac:dyDescent="0.25">
      <c r="A2398" t="str">
        <f t="shared" si="60"/>
        <v>60</v>
      </c>
      <c r="B2398" t="str">
        <f>"60.0405"</f>
        <v>60.0405</v>
      </c>
      <c r="C2398" t="s">
        <v>2224</v>
      </c>
    </row>
    <row r="2399" spans="1:3" x14ac:dyDescent="0.25">
      <c r="A2399" t="str">
        <f t="shared" si="60"/>
        <v>60</v>
      </c>
      <c r="B2399" t="str">
        <f>"60.0406"</f>
        <v>60.0406</v>
      </c>
      <c r="C2399" t="s">
        <v>2225</v>
      </c>
    </row>
    <row r="2400" spans="1:3" x14ac:dyDescent="0.25">
      <c r="A2400" t="str">
        <f t="shared" si="60"/>
        <v>60</v>
      </c>
      <c r="B2400" t="str">
        <f>"60.0407"</f>
        <v>60.0407</v>
      </c>
      <c r="C2400" t="s">
        <v>2226</v>
      </c>
    </row>
    <row r="2401" spans="1:3" x14ac:dyDescent="0.25">
      <c r="A2401" t="str">
        <f t="shared" si="60"/>
        <v>60</v>
      </c>
      <c r="B2401" t="str">
        <f>"60.0408"</f>
        <v>60.0408</v>
      </c>
      <c r="C2401" t="s">
        <v>2227</v>
      </c>
    </row>
    <row r="2402" spans="1:3" x14ac:dyDescent="0.25">
      <c r="A2402" t="str">
        <f t="shared" si="60"/>
        <v>60</v>
      </c>
      <c r="B2402" t="str">
        <f>"60.0409"</f>
        <v>60.0409</v>
      </c>
      <c r="C2402" t="s">
        <v>2228</v>
      </c>
    </row>
    <row r="2403" spans="1:3" x14ac:dyDescent="0.25">
      <c r="A2403" t="str">
        <f t="shared" si="60"/>
        <v>60</v>
      </c>
      <c r="B2403" t="str">
        <f>"60.0410"</f>
        <v>60.0410</v>
      </c>
      <c r="C2403" t="s">
        <v>2229</v>
      </c>
    </row>
    <row r="2404" spans="1:3" x14ac:dyDescent="0.25">
      <c r="A2404" t="str">
        <f t="shared" si="60"/>
        <v>60</v>
      </c>
      <c r="B2404" t="str">
        <f>"60.0411"</f>
        <v>60.0411</v>
      </c>
      <c r="C2404" t="s">
        <v>2230</v>
      </c>
    </row>
    <row r="2405" spans="1:3" x14ac:dyDescent="0.25">
      <c r="A2405" t="str">
        <f t="shared" si="60"/>
        <v>60</v>
      </c>
      <c r="B2405" t="str">
        <f>"60.0412"</f>
        <v>60.0412</v>
      </c>
      <c r="C2405" t="s">
        <v>2231</v>
      </c>
    </row>
    <row r="2406" spans="1:3" x14ac:dyDescent="0.25">
      <c r="A2406" t="str">
        <f t="shared" si="60"/>
        <v>60</v>
      </c>
      <c r="B2406" t="str">
        <f>"60.0413"</f>
        <v>60.0413</v>
      </c>
      <c r="C2406" t="s">
        <v>2232</v>
      </c>
    </row>
    <row r="2407" spans="1:3" x14ac:dyDescent="0.25">
      <c r="A2407" t="str">
        <f t="shared" si="60"/>
        <v>60</v>
      </c>
      <c r="B2407" t="str">
        <f>"60.0414"</f>
        <v>60.0414</v>
      </c>
      <c r="C2407" t="s">
        <v>2233</v>
      </c>
    </row>
    <row r="2408" spans="1:3" x14ac:dyDescent="0.25">
      <c r="A2408" t="str">
        <f t="shared" si="60"/>
        <v>60</v>
      </c>
      <c r="B2408" t="str">
        <f>"60.0415"</f>
        <v>60.0415</v>
      </c>
      <c r="C2408" t="s">
        <v>2234</v>
      </c>
    </row>
    <row r="2409" spans="1:3" x14ac:dyDescent="0.25">
      <c r="A2409" t="str">
        <f t="shared" si="60"/>
        <v>60</v>
      </c>
      <c r="B2409" t="str">
        <f>"60.0416"</f>
        <v>60.0416</v>
      </c>
      <c r="C2409" t="s">
        <v>2235</v>
      </c>
    </row>
    <row r="2410" spans="1:3" x14ac:dyDescent="0.25">
      <c r="A2410" t="str">
        <f t="shared" si="60"/>
        <v>60</v>
      </c>
      <c r="B2410" t="str">
        <f>"60.0417"</f>
        <v>60.0417</v>
      </c>
      <c r="C2410" t="s">
        <v>2236</v>
      </c>
    </row>
    <row r="2411" spans="1:3" x14ac:dyDescent="0.25">
      <c r="A2411" t="str">
        <f t="shared" si="60"/>
        <v>60</v>
      </c>
      <c r="B2411" t="str">
        <f>"60.0418"</f>
        <v>60.0418</v>
      </c>
      <c r="C2411" t="s">
        <v>2237</v>
      </c>
    </row>
    <row r="2412" spans="1:3" x14ac:dyDescent="0.25">
      <c r="A2412" t="str">
        <f t="shared" si="60"/>
        <v>60</v>
      </c>
      <c r="B2412" t="str">
        <f>"60.0419"</f>
        <v>60.0419</v>
      </c>
      <c r="C2412" t="s">
        <v>2238</v>
      </c>
    </row>
    <row r="2413" spans="1:3" x14ac:dyDescent="0.25">
      <c r="A2413" t="str">
        <f t="shared" si="60"/>
        <v>60</v>
      </c>
      <c r="B2413" t="str">
        <f>"60.0420"</f>
        <v>60.0420</v>
      </c>
      <c r="C2413" t="s">
        <v>2239</v>
      </c>
    </row>
    <row r="2414" spans="1:3" x14ac:dyDescent="0.25">
      <c r="A2414" t="str">
        <f t="shared" si="60"/>
        <v>60</v>
      </c>
      <c r="B2414" t="str">
        <f>"60.0421"</f>
        <v>60.0421</v>
      </c>
      <c r="C2414" t="s">
        <v>2240</v>
      </c>
    </row>
    <row r="2415" spans="1:3" x14ac:dyDescent="0.25">
      <c r="A2415" t="str">
        <f t="shared" si="60"/>
        <v>60</v>
      </c>
      <c r="B2415" t="str">
        <f>"60.0422"</f>
        <v>60.0422</v>
      </c>
      <c r="C2415" t="s">
        <v>2241</v>
      </c>
    </row>
    <row r="2416" spans="1:3" x14ac:dyDescent="0.25">
      <c r="A2416" t="str">
        <f t="shared" si="60"/>
        <v>60</v>
      </c>
      <c r="B2416" t="str">
        <f>"60.0423"</f>
        <v>60.0423</v>
      </c>
      <c r="C2416" t="s">
        <v>2242</v>
      </c>
    </row>
    <row r="2417" spans="1:3" x14ac:dyDescent="0.25">
      <c r="A2417" t="str">
        <f t="shared" si="60"/>
        <v>60</v>
      </c>
      <c r="B2417" t="str">
        <f>"60.0424"</f>
        <v>60.0424</v>
      </c>
      <c r="C2417" t="s">
        <v>2243</v>
      </c>
    </row>
    <row r="2418" spans="1:3" x14ac:dyDescent="0.25">
      <c r="A2418" t="str">
        <f t="shared" si="60"/>
        <v>60</v>
      </c>
      <c r="B2418" t="str">
        <f>"60.0425"</f>
        <v>60.0425</v>
      </c>
      <c r="C2418" t="s">
        <v>2244</v>
      </c>
    </row>
    <row r="2419" spans="1:3" x14ac:dyDescent="0.25">
      <c r="A2419" t="str">
        <f t="shared" si="60"/>
        <v>60</v>
      </c>
      <c r="B2419" t="str">
        <f>"60.0426"</f>
        <v>60.0426</v>
      </c>
      <c r="C2419" t="s">
        <v>2245</v>
      </c>
    </row>
    <row r="2420" spans="1:3" x14ac:dyDescent="0.25">
      <c r="A2420" t="str">
        <f t="shared" si="60"/>
        <v>60</v>
      </c>
      <c r="B2420" t="str">
        <f>"60.0427"</f>
        <v>60.0427</v>
      </c>
      <c r="C2420" t="s">
        <v>2246</v>
      </c>
    </row>
    <row r="2421" spans="1:3" x14ac:dyDescent="0.25">
      <c r="A2421" t="str">
        <f t="shared" si="60"/>
        <v>60</v>
      </c>
      <c r="B2421" t="str">
        <f>"60.0428"</f>
        <v>60.0428</v>
      </c>
      <c r="C2421" t="s">
        <v>2247</v>
      </c>
    </row>
    <row r="2422" spans="1:3" x14ac:dyDescent="0.25">
      <c r="A2422" t="str">
        <f t="shared" si="60"/>
        <v>60</v>
      </c>
      <c r="B2422" t="str">
        <f>"60.0429"</f>
        <v>60.0429</v>
      </c>
      <c r="C2422" t="s">
        <v>2248</v>
      </c>
    </row>
    <row r="2423" spans="1:3" x14ac:dyDescent="0.25">
      <c r="A2423" t="str">
        <f t="shared" ref="A2423:A2486" si="61">"60"</f>
        <v>60</v>
      </c>
      <c r="B2423" t="str">
        <f>"60.0430"</f>
        <v>60.0430</v>
      </c>
      <c r="C2423" t="s">
        <v>2249</v>
      </c>
    </row>
    <row r="2424" spans="1:3" x14ac:dyDescent="0.25">
      <c r="A2424" t="str">
        <f t="shared" si="61"/>
        <v>60</v>
      </c>
      <c r="B2424" t="str">
        <f>"60.0431"</f>
        <v>60.0431</v>
      </c>
      <c r="C2424" t="s">
        <v>2250</v>
      </c>
    </row>
    <row r="2425" spans="1:3" x14ac:dyDescent="0.25">
      <c r="A2425" t="str">
        <f t="shared" si="61"/>
        <v>60</v>
      </c>
      <c r="B2425" t="str">
        <f>"60.0432"</f>
        <v>60.0432</v>
      </c>
      <c r="C2425" t="s">
        <v>2251</v>
      </c>
    </row>
    <row r="2426" spans="1:3" x14ac:dyDescent="0.25">
      <c r="A2426" t="str">
        <f t="shared" si="61"/>
        <v>60</v>
      </c>
      <c r="B2426" t="str">
        <f>"60.0433"</f>
        <v>60.0433</v>
      </c>
      <c r="C2426" t="s">
        <v>2252</v>
      </c>
    </row>
    <row r="2427" spans="1:3" x14ac:dyDescent="0.25">
      <c r="A2427" t="str">
        <f t="shared" si="61"/>
        <v>60</v>
      </c>
      <c r="B2427" t="str">
        <f>"60.0434"</f>
        <v>60.0434</v>
      </c>
      <c r="C2427" t="s">
        <v>2253</v>
      </c>
    </row>
    <row r="2428" spans="1:3" x14ac:dyDescent="0.25">
      <c r="A2428" t="str">
        <f t="shared" si="61"/>
        <v>60</v>
      </c>
      <c r="B2428" t="str">
        <f>"60.0499"</f>
        <v>60.0499</v>
      </c>
      <c r="C2428" t="s">
        <v>2254</v>
      </c>
    </row>
    <row r="2429" spans="1:3" x14ac:dyDescent="0.25">
      <c r="A2429" t="str">
        <f t="shared" si="61"/>
        <v>60</v>
      </c>
      <c r="B2429" t="str">
        <f>"60.05"</f>
        <v>60.05</v>
      </c>
      <c r="C2429" t="s">
        <v>2255</v>
      </c>
    </row>
    <row r="2430" spans="1:3" x14ac:dyDescent="0.25">
      <c r="A2430" t="str">
        <f t="shared" si="61"/>
        <v>60</v>
      </c>
      <c r="B2430" t="str">
        <f>"60.0501"</f>
        <v>60.0501</v>
      </c>
      <c r="C2430" t="s">
        <v>2256</v>
      </c>
    </row>
    <row r="2431" spans="1:3" x14ac:dyDescent="0.25">
      <c r="A2431" t="str">
        <f t="shared" si="61"/>
        <v>60</v>
      </c>
      <c r="B2431" t="str">
        <f>"60.0502"</f>
        <v>60.0502</v>
      </c>
      <c r="C2431" t="s">
        <v>2257</v>
      </c>
    </row>
    <row r="2432" spans="1:3" x14ac:dyDescent="0.25">
      <c r="A2432" t="str">
        <f t="shared" si="61"/>
        <v>60</v>
      </c>
      <c r="B2432" t="str">
        <f>"60.0503"</f>
        <v>60.0503</v>
      </c>
      <c r="C2432" t="s">
        <v>2258</v>
      </c>
    </row>
    <row r="2433" spans="1:3" x14ac:dyDescent="0.25">
      <c r="A2433" t="str">
        <f t="shared" si="61"/>
        <v>60</v>
      </c>
      <c r="B2433" t="str">
        <f>"60.0504"</f>
        <v>60.0504</v>
      </c>
      <c r="C2433" t="s">
        <v>2259</v>
      </c>
    </row>
    <row r="2434" spans="1:3" x14ac:dyDescent="0.25">
      <c r="A2434" t="str">
        <f t="shared" si="61"/>
        <v>60</v>
      </c>
      <c r="B2434" t="str">
        <f>"60.0505"</f>
        <v>60.0505</v>
      </c>
      <c r="C2434" t="s">
        <v>2260</v>
      </c>
    </row>
    <row r="2435" spans="1:3" x14ac:dyDescent="0.25">
      <c r="A2435" t="str">
        <f t="shared" si="61"/>
        <v>60</v>
      </c>
      <c r="B2435" t="str">
        <f>"60.0506"</f>
        <v>60.0506</v>
      </c>
      <c r="C2435" t="s">
        <v>2261</v>
      </c>
    </row>
    <row r="2436" spans="1:3" x14ac:dyDescent="0.25">
      <c r="A2436" t="str">
        <f t="shared" si="61"/>
        <v>60</v>
      </c>
      <c r="B2436" t="str">
        <f>"60.0507"</f>
        <v>60.0507</v>
      </c>
      <c r="C2436" t="s">
        <v>2262</v>
      </c>
    </row>
    <row r="2437" spans="1:3" x14ac:dyDescent="0.25">
      <c r="A2437" t="str">
        <f t="shared" si="61"/>
        <v>60</v>
      </c>
      <c r="B2437" t="str">
        <f>"60.0508"</f>
        <v>60.0508</v>
      </c>
      <c r="C2437" t="s">
        <v>2263</v>
      </c>
    </row>
    <row r="2438" spans="1:3" x14ac:dyDescent="0.25">
      <c r="A2438" t="str">
        <f t="shared" si="61"/>
        <v>60</v>
      </c>
      <c r="B2438" t="str">
        <f>"60.0509"</f>
        <v>60.0509</v>
      </c>
      <c r="C2438" t="s">
        <v>2264</v>
      </c>
    </row>
    <row r="2439" spans="1:3" x14ac:dyDescent="0.25">
      <c r="A2439" t="str">
        <f t="shared" si="61"/>
        <v>60</v>
      </c>
      <c r="B2439" t="str">
        <f>"60.0510"</f>
        <v>60.0510</v>
      </c>
      <c r="C2439" t="s">
        <v>2265</v>
      </c>
    </row>
    <row r="2440" spans="1:3" x14ac:dyDescent="0.25">
      <c r="A2440" t="str">
        <f t="shared" si="61"/>
        <v>60</v>
      </c>
      <c r="B2440" t="str">
        <f>"60.0511"</f>
        <v>60.0511</v>
      </c>
      <c r="C2440" t="s">
        <v>2266</v>
      </c>
    </row>
    <row r="2441" spans="1:3" x14ac:dyDescent="0.25">
      <c r="A2441" t="str">
        <f t="shared" si="61"/>
        <v>60</v>
      </c>
      <c r="B2441" t="str">
        <f>"60.0512"</f>
        <v>60.0512</v>
      </c>
      <c r="C2441" t="s">
        <v>2267</v>
      </c>
    </row>
    <row r="2442" spans="1:3" x14ac:dyDescent="0.25">
      <c r="A2442" t="str">
        <f t="shared" si="61"/>
        <v>60</v>
      </c>
      <c r="B2442" t="str">
        <f>"60.0513"</f>
        <v>60.0513</v>
      </c>
      <c r="C2442" t="s">
        <v>2268</v>
      </c>
    </row>
    <row r="2443" spans="1:3" x14ac:dyDescent="0.25">
      <c r="A2443" t="str">
        <f t="shared" si="61"/>
        <v>60</v>
      </c>
      <c r="B2443" t="str">
        <f>"60.0514"</f>
        <v>60.0514</v>
      </c>
      <c r="C2443" t="s">
        <v>2269</v>
      </c>
    </row>
    <row r="2444" spans="1:3" x14ac:dyDescent="0.25">
      <c r="A2444" t="str">
        <f t="shared" si="61"/>
        <v>60</v>
      </c>
      <c r="B2444" t="str">
        <f>"60.0515"</f>
        <v>60.0515</v>
      </c>
      <c r="C2444" t="s">
        <v>2270</v>
      </c>
    </row>
    <row r="2445" spans="1:3" x14ac:dyDescent="0.25">
      <c r="A2445" t="str">
        <f t="shared" si="61"/>
        <v>60</v>
      </c>
      <c r="B2445" t="str">
        <f>"60.0516"</f>
        <v>60.0516</v>
      </c>
      <c r="C2445" t="s">
        <v>2271</v>
      </c>
    </row>
    <row r="2446" spans="1:3" x14ac:dyDescent="0.25">
      <c r="A2446" t="str">
        <f t="shared" si="61"/>
        <v>60</v>
      </c>
      <c r="B2446" t="str">
        <f>"60.0517"</f>
        <v>60.0517</v>
      </c>
      <c r="C2446" t="s">
        <v>2272</v>
      </c>
    </row>
    <row r="2447" spans="1:3" x14ac:dyDescent="0.25">
      <c r="A2447" t="str">
        <f t="shared" si="61"/>
        <v>60</v>
      </c>
      <c r="B2447" t="str">
        <f>"60.0518"</f>
        <v>60.0518</v>
      </c>
      <c r="C2447" t="s">
        <v>2273</v>
      </c>
    </row>
    <row r="2448" spans="1:3" x14ac:dyDescent="0.25">
      <c r="A2448" t="str">
        <f t="shared" si="61"/>
        <v>60</v>
      </c>
      <c r="B2448" t="str">
        <f>"60.0519"</f>
        <v>60.0519</v>
      </c>
      <c r="C2448" t="s">
        <v>2274</v>
      </c>
    </row>
    <row r="2449" spans="1:3" x14ac:dyDescent="0.25">
      <c r="A2449" t="str">
        <f t="shared" si="61"/>
        <v>60</v>
      </c>
      <c r="B2449" t="str">
        <f>"60.0520"</f>
        <v>60.0520</v>
      </c>
      <c r="C2449" t="s">
        <v>2275</v>
      </c>
    </row>
    <row r="2450" spans="1:3" x14ac:dyDescent="0.25">
      <c r="A2450" t="str">
        <f t="shared" si="61"/>
        <v>60</v>
      </c>
      <c r="B2450" t="str">
        <f>"60.0521"</f>
        <v>60.0521</v>
      </c>
      <c r="C2450" t="s">
        <v>2276</v>
      </c>
    </row>
    <row r="2451" spans="1:3" x14ac:dyDescent="0.25">
      <c r="A2451" t="str">
        <f t="shared" si="61"/>
        <v>60</v>
      </c>
      <c r="B2451" t="str">
        <f>"60.0522"</f>
        <v>60.0522</v>
      </c>
      <c r="C2451" t="s">
        <v>2277</v>
      </c>
    </row>
    <row r="2452" spans="1:3" x14ac:dyDescent="0.25">
      <c r="A2452" t="str">
        <f t="shared" si="61"/>
        <v>60</v>
      </c>
      <c r="B2452" t="str">
        <f>"60.0523"</f>
        <v>60.0523</v>
      </c>
      <c r="C2452" t="s">
        <v>2278</v>
      </c>
    </row>
    <row r="2453" spans="1:3" x14ac:dyDescent="0.25">
      <c r="A2453" t="str">
        <f t="shared" si="61"/>
        <v>60</v>
      </c>
      <c r="B2453" t="str">
        <f>"60.0524"</f>
        <v>60.0524</v>
      </c>
      <c r="C2453" t="s">
        <v>2279</v>
      </c>
    </row>
    <row r="2454" spans="1:3" x14ac:dyDescent="0.25">
      <c r="A2454" t="str">
        <f t="shared" si="61"/>
        <v>60</v>
      </c>
      <c r="B2454" t="str">
        <f>"60.0525"</f>
        <v>60.0525</v>
      </c>
      <c r="C2454" t="s">
        <v>2280</v>
      </c>
    </row>
    <row r="2455" spans="1:3" x14ac:dyDescent="0.25">
      <c r="A2455" t="str">
        <f t="shared" si="61"/>
        <v>60</v>
      </c>
      <c r="B2455" t="str">
        <f>"60.0526"</f>
        <v>60.0526</v>
      </c>
      <c r="C2455" t="s">
        <v>2281</v>
      </c>
    </row>
    <row r="2456" spans="1:3" x14ac:dyDescent="0.25">
      <c r="A2456" t="str">
        <f t="shared" si="61"/>
        <v>60</v>
      </c>
      <c r="B2456" t="str">
        <f>"60.0527"</f>
        <v>60.0527</v>
      </c>
      <c r="C2456" t="s">
        <v>2282</v>
      </c>
    </row>
    <row r="2457" spans="1:3" x14ac:dyDescent="0.25">
      <c r="A2457" t="str">
        <f t="shared" si="61"/>
        <v>60</v>
      </c>
      <c r="B2457" t="str">
        <f>"60.0528"</f>
        <v>60.0528</v>
      </c>
      <c r="C2457" t="s">
        <v>2283</v>
      </c>
    </row>
    <row r="2458" spans="1:3" x14ac:dyDescent="0.25">
      <c r="A2458" t="str">
        <f t="shared" si="61"/>
        <v>60</v>
      </c>
      <c r="B2458" t="str">
        <f>"60.0529"</f>
        <v>60.0529</v>
      </c>
      <c r="C2458" t="s">
        <v>2284</v>
      </c>
    </row>
    <row r="2459" spans="1:3" x14ac:dyDescent="0.25">
      <c r="A2459" t="str">
        <f t="shared" si="61"/>
        <v>60</v>
      </c>
      <c r="B2459" t="str">
        <f>"60.0530"</f>
        <v>60.0530</v>
      </c>
      <c r="C2459" t="s">
        <v>2285</v>
      </c>
    </row>
    <row r="2460" spans="1:3" x14ac:dyDescent="0.25">
      <c r="A2460" t="str">
        <f t="shared" si="61"/>
        <v>60</v>
      </c>
      <c r="B2460" t="str">
        <f>"60.0531"</f>
        <v>60.0531</v>
      </c>
      <c r="C2460" t="s">
        <v>2286</v>
      </c>
    </row>
    <row r="2461" spans="1:3" x14ac:dyDescent="0.25">
      <c r="A2461" t="str">
        <f t="shared" si="61"/>
        <v>60</v>
      </c>
      <c r="B2461" t="str">
        <f>"60.0532"</f>
        <v>60.0532</v>
      </c>
      <c r="C2461" t="s">
        <v>2287</v>
      </c>
    </row>
    <row r="2462" spans="1:3" x14ac:dyDescent="0.25">
      <c r="A2462" t="str">
        <f t="shared" si="61"/>
        <v>60</v>
      </c>
      <c r="B2462" t="str">
        <f>"60.0533"</f>
        <v>60.0533</v>
      </c>
      <c r="C2462" t="s">
        <v>2288</v>
      </c>
    </row>
    <row r="2463" spans="1:3" x14ac:dyDescent="0.25">
      <c r="A2463" t="str">
        <f t="shared" si="61"/>
        <v>60</v>
      </c>
      <c r="B2463" t="str">
        <f>"60.0534"</f>
        <v>60.0534</v>
      </c>
      <c r="C2463" t="s">
        <v>2289</v>
      </c>
    </row>
    <row r="2464" spans="1:3" x14ac:dyDescent="0.25">
      <c r="A2464" t="str">
        <f t="shared" si="61"/>
        <v>60</v>
      </c>
      <c r="B2464" t="str">
        <f>"60.0535"</f>
        <v>60.0535</v>
      </c>
      <c r="C2464" t="s">
        <v>2290</v>
      </c>
    </row>
    <row r="2465" spans="1:3" x14ac:dyDescent="0.25">
      <c r="A2465" t="str">
        <f t="shared" si="61"/>
        <v>60</v>
      </c>
      <c r="B2465" t="str">
        <f>"60.0536"</f>
        <v>60.0536</v>
      </c>
      <c r="C2465" t="s">
        <v>2291</v>
      </c>
    </row>
    <row r="2466" spans="1:3" x14ac:dyDescent="0.25">
      <c r="A2466" t="str">
        <f t="shared" si="61"/>
        <v>60</v>
      </c>
      <c r="B2466" t="str">
        <f>"60.0537"</f>
        <v>60.0537</v>
      </c>
      <c r="C2466" t="s">
        <v>2292</v>
      </c>
    </row>
    <row r="2467" spans="1:3" x14ac:dyDescent="0.25">
      <c r="A2467" t="str">
        <f t="shared" si="61"/>
        <v>60</v>
      </c>
      <c r="B2467" t="str">
        <f>"60.0538"</f>
        <v>60.0538</v>
      </c>
      <c r="C2467" t="s">
        <v>2293</v>
      </c>
    </row>
    <row r="2468" spans="1:3" x14ac:dyDescent="0.25">
      <c r="A2468" t="str">
        <f t="shared" si="61"/>
        <v>60</v>
      </c>
      <c r="B2468" t="str">
        <f>"60.0539"</f>
        <v>60.0539</v>
      </c>
      <c r="C2468" t="s">
        <v>2294</v>
      </c>
    </row>
    <row r="2469" spans="1:3" x14ac:dyDescent="0.25">
      <c r="A2469" t="str">
        <f t="shared" si="61"/>
        <v>60</v>
      </c>
      <c r="B2469" t="str">
        <f>"60.0540"</f>
        <v>60.0540</v>
      </c>
      <c r="C2469" t="s">
        <v>2295</v>
      </c>
    </row>
    <row r="2470" spans="1:3" x14ac:dyDescent="0.25">
      <c r="A2470" t="str">
        <f t="shared" si="61"/>
        <v>60</v>
      </c>
      <c r="B2470" t="str">
        <f>"60.0541"</f>
        <v>60.0541</v>
      </c>
      <c r="C2470" t="s">
        <v>2296</v>
      </c>
    </row>
    <row r="2471" spans="1:3" x14ac:dyDescent="0.25">
      <c r="A2471" t="str">
        <f t="shared" si="61"/>
        <v>60</v>
      </c>
      <c r="B2471" t="str">
        <f>"60.0542"</f>
        <v>60.0542</v>
      </c>
      <c r="C2471" t="s">
        <v>2297</v>
      </c>
    </row>
    <row r="2472" spans="1:3" x14ac:dyDescent="0.25">
      <c r="A2472" t="str">
        <f t="shared" si="61"/>
        <v>60</v>
      </c>
      <c r="B2472" t="str">
        <f>"60.0543"</f>
        <v>60.0543</v>
      </c>
      <c r="C2472" t="s">
        <v>2298</v>
      </c>
    </row>
    <row r="2473" spans="1:3" x14ac:dyDescent="0.25">
      <c r="A2473" t="str">
        <f t="shared" si="61"/>
        <v>60</v>
      </c>
      <c r="B2473" t="str">
        <f>"60.0544"</f>
        <v>60.0544</v>
      </c>
      <c r="C2473" t="s">
        <v>2299</v>
      </c>
    </row>
    <row r="2474" spans="1:3" x14ac:dyDescent="0.25">
      <c r="A2474" t="str">
        <f t="shared" si="61"/>
        <v>60</v>
      </c>
      <c r="B2474" t="str">
        <f>"60.0545"</f>
        <v>60.0545</v>
      </c>
      <c r="C2474" t="s">
        <v>2300</v>
      </c>
    </row>
    <row r="2475" spans="1:3" x14ac:dyDescent="0.25">
      <c r="A2475" t="str">
        <f t="shared" si="61"/>
        <v>60</v>
      </c>
      <c r="B2475" t="str">
        <f>"60.0546"</f>
        <v>60.0546</v>
      </c>
      <c r="C2475" t="s">
        <v>2301</v>
      </c>
    </row>
    <row r="2476" spans="1:3" x14ac:dyDescent="0.25">
      <c r="A2476" t="str">
        <f t="shared" si="61"/>
        <v>60</v>
      </c>
      <c r="B2476" t="str">
        <f>"60.0547"</f>
        <v>60.0547</v>
      </c>
      <c r="C2476" t="s">
        <v>2302</v>
      </c>
    </row>
    <row r="2477" spans="1:3" x14ac:dyDescent="0.25">
      <c r="A2477" t="str">
        <f t="shared" si="61"/>
        <v>60</v>
      </c>
      <c r="B2477" t="str">
        <f>"60.0548"</f>
        <v>60.0548</v>
      </c>
      <c r="C2477" t="s">
        <v>2303</v>
      </c>
    </row>
    <row r="2478" spans="1:3" x14ac:dyDescent="0.25">
      <c r="A2478" t="str">
        <f t="shared" si="61"/>
        <v>60</v>
      </c>
      <c r="B2478" t="str">
        <f>"60.0549"</f>
        <v>60.0549</v>
      </c>
      <c r="C2478" t="s">
        <v>2304</v>
      </c>
    </row>
    <row r="2479" spans="1:3" x14ac:dyDescent="0.25">
      <c r="A2479" t="str">
        <f t="shared" si="61"/>
        <v>60</v>
      </c>
      <c r="B2479" t="str">
        <f>"60.0550"</f>
        <v>60.0550</v>
      </c>
      <c r="C2479" t="s">
        <v>2305</v>
      </c>
    </row>
    <row r="2480" spans="1:3" x14ac:dyDescent="0.25">
      <c r="A2480" t="str">
        <f t="shared" si="61"/>
        <v>60</v>
      </c>
      <c r="B2480" t="str">
        <f>"60.0551"</f>
        <v>60.0551</v>
      </c>
      <c r="C2480" t="s">
        <v>2306</v>
      </c>
    </row>
    <row r="2481" spans="1:3" x14ac:dyDescent="0.25">
      <c r="A2481" t="str">
        <f t="shared" si="61"/>
        <v>60</v>
      </c>
      <c r="B2481" t="str">
        <f>"60.0552"</f>
        <v>60.0552</v>
      </c>
      <c r="C2481" t="s">
        <v>2307</v>
      </c>
    </row>
    <row r="2482" spans="1:3" x14ac:dyDescent="0.25">
      <c r="A2482" t="str">
        <f t="shared" si="61"/>
        <v>60</v>
      </c>
      <c r="B2482" t="str">
        <f>"60.0553"</f>
        <v>60.0553</v>
      </c>
      <c r="C2482" t="s">
        <v>2308</v>
      </c>
    </row>
    <row r="2483" spans="1:3" x14ac:dyDescent="0.25">
      <c r="A2483" t="str">
        <f t="shared" si="61"/>
        <v>60</v>
      </c>
      <c r="B2483" t="str">
        <f>"60.0554"</f>
        <v>60.0554</v>
      </c>
      <c r="C2483" t="s">
        <v>2309</v>
      </c>
    </row>
    <row r="2484" spans="1:3" x14ac:dyDescent="0.25">
      <c r="A2484" t="str">
        <f t="shared" si="61"/>
        <v>60</v>
      </c>
      <c r="B2484" t="str">
        <f>"60.0555"</f>
        <v>60.0555</v>
      </c>
      <c r="C2484" t="s">
        <v>2310</v>
      </c>
    </row>
    <row r="2485" spans="1:3" x14ac:dyDescent="0.25">
      <c r="A2485" t="str">
        <f t="shared" si="61"/>
        <v>60</v>
      </c>
      <c r="B2485" t="str">
        <f>"60.0556"</f>
        <v>60.0556</v>
      </c>
      <c r="C2485" t="s">
        <v>2311</v>
      </c>
    </row>
    <row r="2486" spans="1:3" x14ac:dyDescent="0.25">
      <c r="A2486" t="str">
        <f t="shared" si="61"/>
        <v>60</v>
      </c>
      <c r="B2486" t="str">
        <f>"60.0557"</f>
        <v>60.0557</v>
      </c>
      <c r="C2486" t="s">
        <v>2312</v>
      </c>
    </row>
    <row r="2487" spans="1:3" x14ac:dyDescent="0.25">
      <c r="A2487" t="str">
        <f t="shared" ref="A2487:A2550" si="62">"60"</f>
        <v>60</v>
      </c>
      <c r="B2487" t="str">
        <f>"60.0558"</f>
        <v>60.0558</v>
      </c>
      <c r="C2487" t="s">
        <v>2313</v>
      </c>
    </row>
    <row r="2488" spans="1:3" x14ac:dyDescent="0.25">
      <c r="A2488" t="str">
        <f t="shared" si="62"/>
        <v>60</v>
      </c>
      <c r="B2488" t="str">
        <f>"60.0559"</f>
        <v>60.0559</v>
      </c>
      <c r="C2488" t="s">
        <v>2314</v>
      </c>
    </row>
    <row r="2489" spans="1:3" x14ac:dyDescent="0.25">
      <c r="A2489" t="str">
        <f t="shared" si="62"/>
        <v>60</v>
      </c>
      <c r="B2489" t="str">
        <f>"60.0560"</f>
        <v>60.0560</v>
      </c>
      <c r="C2489" t="s">
        <v>2315</v>
      </c>
    </row>
    <row r="2490" spans="1:3" x14ac:dyDescent="0.25">
      <c r="A2490" t="str">
        <f t="shared" si="62"/>
        <v>60</v>
      </c>
      <c r="B2490" t="str">
        <f>"60.0561"</f>
        <v>60.0561</v>
      </c>
      <c r="C2490" t="s">
        <v>2316</v>
      </c>
    </row>
    <row r="2491" spans="1:3" x14ac:dyDescent="0.25">
      <c r="A2491" t="str">
        <f t="shared" si="62"/>
        <v>60</v>
      </c>
      <c r="B2491" t="str">
        <f>"60.0562"</f>
        <v>60.0562</v>
      </c>
      <c r="C2491" t="s">
        <v>2317</v>
      </c>
    </row>
    <row r="2492" spans="1:3" x14ac:dyDescent="0.25">
      <c r="A2492" t="str">
        <f t="shared" si="62"/>
        <v>60</v>
      </c>
      <c r="B2492" t="str">
        <f>"60.0563"</f>
        <v>60.0563</v>
      </c>
      <c r="C2492" t="s">
        <v>2318</v>
      </c>
    </row>
    <row r="2493" spans="1:3" x14ac:dyDescent="0.25">
      <c r="A2493" t="str">
        <f t="shared" si="62"/>
        <v>60</v>
      </c>
      <c r="B2493" t="str">
        <f>"60.0564"</f>
        <v>60.0564</v>
      </c>
      <c r="C2493" t="s">
        <v>2319</v>
      </c>
    </row>
    <row r="2494" spans="1:3" x14ac:dyDescent="0.25">
      <c r="A2494" t="str">
        <f t="shared" si="62"/>
        <v>60</v>
      </c>
      <c r="B2494" t="str">
        <f>"60.0565"</f>
        <v>60.0565</v>
      </c>
      <c r="C2494" t="s">
        <v>2320</v>
      </c>
    </row>
    <row r="2495" spans="1:3" x14ac:dyDescent="0.25">
      <c r="A2495" t="str">
        <f t="shared" si="62"/>
        <v>60</v>
      </c>
      <c r="B2495" t="str">
        <f>"60.0566"</f>
        <v>60.0566</v>
      </c>
      <c r="C2495" t="s">
        <v>2321</v>
      </c>
    </row>
    <row r="2496" spans="1:3" x14ac:dyDescent="0.25">
      <c r="A2496" t="str">
        <f t="shared" si="62"/>
        <v>60</v>
      </c>
      <c r="B2496" t="str">
        <f>"60.0567"</f>
        <v>60.0567</v>
      </c>
      <c r="C2496" t="s">
        <v>2322</v>
      </c>
    </row>
    <row r="2497" spans="1:3" x14ac:dyDescent="0.25">
      <c r="A2497" t="str">
        <f t="shared" si="62"/>
        <v>60</v>
      </c>
      <c r="B2497" t="str">
        <f>"60.0568"</f>
        <v>60.0568</v>
      </c>
      <c r="C2497" t="s">
        <v>2323</v>
      </c>
    </row>
    <row r="2498" spans="1:3" x14ac:dyDescent="0.25">
      <c r="A2498" t="str">
        <f t="shared" si="62"/>
        <v>60</v>
      </c>
      <c r="B2498" t="str">
        <f>"60.0569"</f>
        <v>60.0569</v>
      </c>
      <c r="C2498" t="s">
        <v>2324</v>
      </c>
    </row>
    <row r="2499" spans="1:3" x14ac:dyDescent="0.25">
      <c r="A2499" t="str">
        <f t="shared" si="62"/>
        <v>60</v>
      </c>
      <c r="B2499" t="str">
        <f>"60.0570"</f>
        <v>60.0570</v>
      </c>
      <c r="C2499" t="s">
        <v>2325</v>
      </c>
    </row>
    <row r="2500" spans="1:3" x14ac:dyDescent="0.25">
      <c r="A2500" t="str">
        <f t="shared" si="62"/>
        <v>60</v>
      </c>
      <c r="B2500" t="str">
        <f>"60.0571"</f>
        <v>60.0571</v>
      </c>
      <c r="C2500" t="s">
        <v>2326</v>
      </c>
    </row>
    <row r="2501" spans="1:3" x14ac:dyDescent="0.25">
      <c r="A2501" t="str">
        <f t="shared" si="62"/>
        <v>60</v>
      </c>
      <c r="B2501" t="str">
        <f>"60.0572"</f>
        <v>60.0572</v>
      </c>
      <c r="C2501" t="s">
        <v>2327</v>
      </c>
    </row>
    <row r="2502" spans="1:3" x14ac:dyDescent="0.25">
      <c r="A2502" t="str">
        <f t="shared" si="62"/>
        <v>60</v>
      </c>
      <c r="B2502" t="str">
        <f>"60.0573"</f>
        <v>60.0573</v>
      </c>
      <c r="C2502" t="s">
        <v>2328</v>
      </c>
    </row>
    <row r="2503" spans="1:3" x14ac:dyDescent="0.25">
      <c r="A2503" t="str">
        <f t="shared" si="62"/>
        <v>60</v>
      </c>
      <c r="B2503" t="str">
        <f>"60.0574"</f>
        <v>60.0574</v>
      </c>
      <c r="C2503" t="s">
        <v>2329</v>
      </c>
    </row>
    <row r="2504" spans="1:3" x14ac:dyDescent="0.25">
      <c r="A2504" t="str">
        <f t="shared" si="62"/>
        <v>60</v>
      </c>
      <c r="B2504" t="str">
        <f>"60.0575"</f>
        <v>60.0575</v>
      </c>
      <c r="C2504" t="s">
        <v>2330</v>
      </c>
    </row>
    <row r="2505" spans="1:3" x14ac:dyDescent="0.25">
      <c r="A2505" t="str">
        <f t="shared" si="62"/>
        <v>60</v>
      </c>
      <c r="B2505" t="str">
        <f>"60.0576"</f>
        <v>60.0576</v>
      </c>
      <c r="C2505" t="s">
        <v>2331</v>
      </c>
    </row>
    <row r="2506" spans="1:3" x14ac:dyDescent="0.25">
      <c r="A2506" t="str">
        <f t="shared" si="62"/>
        <v>60</v>
      </c>
      <c r="B2506" t="str">
        <f>"60.0577"</f>
        <v>60.0577</v>
      </c>
      <c r="C2506" t="s">
        <v>2332</v>
      </c>
    </row>
    <row r="2507" spans="1:3" x14ac:dyDescent="0.25">
      <c r="A2507" t="str">
        <f t="shared" si="62"/>
        <v>60</v>
      </c>
      <c r="B2507" t="str">
        <f>"60.0578"</f>
        <v>60.0578</v>
      </c>
      <c r="C2507" t="s">
        <v>2333</v>
      </c>
    </row>
    <row r="2508" spans="1:3" x14ac:dyDescent="0.25">
      <c r="A2508" t="str">
        <f t="shared" si="62"/>
        <v>60</v>
      </c>
      <c r="B2508" t="str">
        <f>"60.0579"</f>
        <v>60.0579</v>
      </c>
      <c r="C2508" t="s">
        <v>2334</v>
      </c>
    </row>
    <row r="2509" spans="1:3" x14ac:dyDescent="0.25">
      <c r="A2509" t="str">
        <f t="shared" si="62"/>
        <v>60</v>
      </c>
      <c r="B2509" t="str">
        <f>"60.0580"</f>
        <v>60.0580</v>
      </c>
      <c r="C2509" t="s">
        <v>2335</v>
      </c>
    </row>
    <row r="2510" spans="1:3" x14ac:dyDescent="0.25">
      <c r="A2510" t="str">
        <f t="shared" si="62"/>
        <v>60</v>
      </c>
      <c r="B2510" t="str">
        <f>"60.0581"</f>
        <v>60.0581</v>
      </c>
      <c r="C2510" t="s">
        <v>2336</v>
      </c>
    </row>
    <row r="2511" spans="1:3" x14ac:dyDescent="0.25">
      <c r="A2511" t="str">
        <f t="shared" si="62"/>
        <v>60</v>
      </c>
      <c r="B2511" t="str">
        <f>"60.0582"</f>
        <v>60.0582</v>
      </c>
      <c r="C2511" t="s">
        <v>2337</v>
      </c>
    </row>
    <row r="2512" spans="1:3" x14ac:dyDescent="0.25">
      <c r="A2512" t="str">
        <f t="shared" si="62"/>
        <v>60</v>
      </c>
      <c r="B2512" t="str">
        <f>"60.0583"</f>
        <v>60.0583</v>
      </c>
      <c r="C2512" t="s">
        <v>2338</v>
      </c>
    </row>
    <row r="2513" spans="1:3" x14ac:dyDescent="0.25">
      <c r="A2513" t="str">
        <f t="shared" si="62"/>
        <v>60</v>
      </c>
      <c r="B2513" t="str">
        <f>"60.0584"</f>
        <v>60.0584</v>
      </c>
      <c r="C2513" t="s">
        <v>2339</v>
      </c>
    </row>
    <row r="2514" spans="1:3" x14ac:dyDescent="0.25">
      <c r="A2514" t="str">
        <f t="shared" si="62"/>
        <v>60</v>
      </c>
      <c r="B2514" t="str">
        <f>"60.0599"</f>
        <v>60.0599</v>
      </c>
      <c r="C2514" t="s">
        <v>2340</v>
      </c>
    </row>
    <row r="2515" spans="1:3" x14ac:dyDescent="0.25">
      <c r="A2515" t="str">
        <f t="shared" si="62"/>
        <v>60</v>
      </c>
      <c r="B2515" t="str">
        <f>"60.06"</f>
        <v>60.06</v>
      </c>
      <c r="C2515" t="s">
        <v>2341</v>
      </c>
    </row>
    <row r="2516" spans="1:3" x14ac:dyDescent="0.25">
      <c r="A2516" t="str">
        <f t="shared" si="62"/>
        <v>60</v>
      </c>
      <c r="B2516" t="str">
        <f>"60.0601"</f>
        <v>60.0601</v>
      </c>
      <c r="C2516" t="s">
        <v>2342</v>
      </c>
    </row>
    <row r="2517" spans="1:3" x14ac:dyDescent="0.25">
      <c r="A2517" t="str">
        <f t="shared" si="62"/>
        <v>60</v>
      </c>
      <c r="B2517" t="str">
        <f>"60.0602"</f>
        <v>60.0602</v>
      </c>
      <c r="C2517" t="s">
        <v>2343</v>
      </c>
    </row>
    <row r="2518" spans="1:3" x14ac:dyDescent="0.25">
      <c r="A2518" t="str">
        <f t="shared" si="62"/>
        <v>60</v>
      </c>
      <c r="B2518" t="str">
        <f>"60.07"</f>
        <v>60.07</v>
      </c>
      <c r="C2518" t="s">
        <v>2344</v>
      </c>
    </row>
    <row r="2519" spans="1:3" x14ac:dyDescent="0.25">
      <c r="A2519" t="str">
        <f t="shared" si="62"/>
        <v>60</v>
      </c>
      <c r="B2519" t="str">
        <f>"60.0701"</f>
        <v>60.0701</v>
      </c>
      <c r="C2519" t="s">
        <v>2345</v>
      </c>
    </row>
    <row r="2520" spans="1:3" x14ac:dyDescent="0.25">
      <c r="A2520" t="str">
        <f t="shared" si="62"/>
        <v>60</v>
      </c>
      <c r="B2520" t="str">
        <f>"60.0702"</f>
        <v>60.0702</v>
      </c>
      <c r="C2520" t="s">
        <v>2346</v>
      </c>
    </row>
    <row r="2521" spans="1:3" x14ac:dyDescent="0.25">
      <c r="A2521" t="str">
        <f t="shared" si="62"/>
        <v>60</v>
      </c>
      <c r="B2521" t="str">
        <f>"60.0703"</f>
        <v>60.0703</v>
      </c>
      <c r="C2521" t="s">
        <v>2347</v>
      </c>
    </row>
    <row r="2522" spans="1:3" x14ac:dyDescent="0.25">
      <c r="A2522" t="str">
        <f t="shared" si="62"/>
        <v>60</v>
      </c>
      <c r="B2522" t="str">
        <f>"60.0704"</f>
        <v>60.0704</v>
      </c>
      <c r="C2522" t="s">
        <v>2348</v>
      </c>
    </row>
    <row r="2523" spans="1:3" x14ac:dyDescent="0.25">
      <c r="A2523" t="str">
        <f t="shared" si="62"/>
        <v>60</v>
      </c>
      <c r="B2523" t="str">
        <f>"60.0705"</f>
        <v>60.0705</v>
      </c>
      <c r="C2523" t="s">
        <v>2349</v>
      </c>
    </row>
    <row r="2524" spans="1:3" x14ac:dyDescent="0.25">
      <c r="A2524" t="str">
        <f t="shared" si="62"/>
        <v>60</v>
      </c>
      <c r="B2524" t="str">
        <f>"60.0706"</f>
        <v>60.0706</v>
      </c>
      <c r="C2524" t="s">
        <v>2350</v>
      </c>
    </row>
    <row r="2525" spans="1:3" x14ac:dyDescent="0.25">
      <c r="A2525" t="str">
        <f t="shared" si="62"/>
        <v>60</v>
      </c>
      <c r="B2525" t="str">
        <f>"60.0707"</f>
        <v>60.0707</v>
      </c>
      <c r="C2525" t="s">
        <v>2351</v>
      </c>
    </row>
    <row r="2526" spans="1:3" x14ac:dyDescent="0.25">
      <c r="A2526" t="str">
        <f t="shared" si="62"/>
        <v>60</v>
      </c>
      <c r="B2526" t="str">
        <f>"60.0708"</f>
        <v>60.0708</v>
      </c>
      <c r="C2526" t="s">
        <v>2352</v>
      </c>
    </row>
    <row r="2527" spans="1:3" x14ac:dyDescent="0.25">
      <c r="A2527" t="str">
        <f t="shared" si="62"/>
        <v>60</v>
      </c>
      <c r="B2527" t="str">
        <f>"60.0709"</f>
        <v>60.0709</v>
      </c>
      <c r="C2527" t="s">
        <v>2353</v>
      </c>
    </row>
    <row r="2528" spans="1:3" x14ac:dyDescent="0.25">
      <c r="A2528" t="str">
        <f t="shared" si="62"/>
        <v>60</v>
      </c>
      <c r="B2528" t="str">
        <f>"60.0710"</f>
        <v>60.0710</v>
      </c>
      <c r="C2528" t="s">
        <v>2354</v>
      </c>
    </row>
    <row r="2529" spans="1:3" x14ac:dyDescent="0.25">
      <c r="A2529" t="str">
        <f t="shared" si="62"/>
        <v>60</v>
      </c>
      <c r="B2529" t="str">
        <f>"60.0711"</f>
        <v>60.0711</v>
      </c>
      <c r="C2529" t="s">
        <v>2355</v>
      </c>
    </row>
    <row r="2530" spans="1:3" x14ac:dyDescent="0.25">
      <c r="A2530" t="str">
        <f t="shared" si="62"/>
        <v>60</v>
      </c>
      <c r="B2530" t="str">
        <f>"60.0712"</f>
        <v>60.0712</v>
      </c>
      <c r="C2530" t="s">
        <v>2356</v>
      </c>
    </row>
    <row r="2531" spans="1:3" x14ac:dyDescent="0.25">
      <c r="A2531" t="str">
        <f t="shared" si="62"/>
        <v>60</v>
      </c>
      <c r="B2531" t="str">
        <f>"60.0713"</f>
        <v>60.0713</v>
      </c>
      <c r="C2531" t="s">
        <v>2357</v>
      </c>
    </row>
    <row r="2532" spans="1:3" x14ac:dyDescent="0.25">
      <c r="A2532" t="str">
        <f t="shared" si="62"/>
        <v>60</v>
      </c>
      <c r="B2532" t="str">
        <f>"60.0714"</f>
        <v>60.0714</v>
      </c>
      <c r="C2532" t="s">
        <v>2358</v>
      </c>
    </row>
    <row r="2533" spans="1:3" x14ac:dyDescent="0.25">
      <c r="A2533" t="str">
        <f t="shared" si="62"/>
        <v>60</v>
      </c>
      <c r="B2533" t="str">
        <f>"60.0715"</f>
        <v>60.0715</v>
      </c>
      <c r="C2533" t="s">
        <v>2359</v>
      </c>
    </row>
    <row r="2534" spans="1:3" x14ac:dyDescent="0.25">
      <c r="A2534" t="str">
        <f t="shared" si="62"/>
        <v>60</v>
      </c>
      <c r="B2534" t="str">
        <f>"60.0716"</f>
        <v>60.0716</v>
      </c>
      <c r="C2534" t="s">
        <v>2360</v>
      </c>
    </row>
    <row r="2535" spans="1:3" x14ac:dyDescent="0.25">
      <c r="A2535" t="str">
        <f t="shared" si="62"/>
        <v>60</v>
      </c>
      <c r="B2535" t="str">
        <f>"60.0717"</f>
        <v>60.0717</v>
      </c>
      <c r="C2535" t="s">
        <v>2361</v>
      </c>
    </row>
    <row r="2536" spans="1:3" x14ac:dyDescent="0.25">
      <c r="A2536" t="str">
        <f t="shared" si="62"/>
        <v>60</v>
      </c>
      <c r="B2536" t="str">
        <f>"60.0718"</f>
        <v>60.0718</v>
      </c>
      <c r="C2536" t="s">
        <v>2362</v>
      </c>
    </row>
    <row r="2537" spans="1:3" x14ac:dyDescent="0.25">
      <c r="A2537" t="str">
        <f t="shared" si="62"/>
        <v>60</v>
      </c>
      <c r="B2537" t="str">
        <f>"60.0719"</f>
        <v>60.0719</v>
      </c>
      <c r="C2537" t="s">
        <v>2363</v>
      </c>
    </row>
    <row r="2538" spans="1:3" x14ac:dyDescent="0.25">
      <c r="A2538" t="str">
        <f t="shared" si="62"/>
        <v>60</v>
      </c>
      <c r="B2538" t="str">
        <f>"60.0720"</f>
        <v>60.0720</v>
      </c>
      <c r="C2538" t="s">
        <v>2364</v>
      </c>
    </row>
    <row r="2539" spans="1:3" x14ac:dyDescent="0.25">
      <c r="A2539" t="str">
        <f t="shared" si="62"/>
        <v>60</v>
      </c>
      <c r="B2539" t="str">
        <f>"60.0721"</f>
        <v>60.0721</v>
      </c>
      <c r="C2539" t="s">
        <v>2365</v>
      </c>
    </row>
    <row r="2540" spans="1:3" x14ac:dyDescent="0.25">
      <c r="A2540" t="str">
        <f t="shared" si="62"/>
        <v>60</v>
      </c>
      <c r="B2540" t="str">
        <f>"60.0722"</f>
        <v>60.0722</v>
      </c>
      <c r="C2540" t="s">
        <v>2366</v>
      </c>
    </row>
    <row r="2541" spans="1:3" x14ac:dyDescent="0.25">
      <c r="A2541" t="str">
        <f t="shared" si="62"/>
        <v>60</v>
      </c>
      <c r="B2541" t="str">
        <f>"60.0723"</f>
        <v>60.0723</v>
      </c>
      <c r="C2541" t="s">
        <v>2367</v>
      </c>
    </row>
    <row r="2542" spans="1:3" x14ac:dyDescent="0.25">
      <c r="A2542" t="str">
        <f t="shared" si="62"/>
        <v>60</v>
      </c>
      <c r="B2542" t="str">
        <f>"60.0724"</f>
        <v>60.0724</v>
      </c>
      <c r="C2542" t="s">
        <v>2368</v>
      </c>
    </row>
    <row r="2543" spans="1:3" x14ac:dyDescent="0.25">
      <c r="A2543" t="str">
        <f t="shared" si="62"/>
        <v>60</v>
      </c>
      <c r="B2543" t="str">
        <f>"60.0725"</f>
        <v>60.0725</v>
      </c>
      <c r="C2543" t="s">
        <v>2369</v>
      </c>
    </row>
    <row r="2544" spans="1:3" x14ac:dyDescent="0.25">
      <c r="A2544" t="str">
        <f t="shared" si="62"/>
        <v>60</v>
      </c>
      <c r="B2544" t="str">
        <f>"60.0726"</f>
        <v>60.0726</v>
      </c>
      <c r="C2544" t="s">
        <v>2370</v>
      </c>
    </row>
    <row r="2545" spans="1:3" x14ac:dyDescent="0.25">
      <c r="A2545" t="str">
        <f t="shared" si="62"/>
        <v>60</v>
      </c>
      <c r="B2545" t="str">
        <f>"60.0727"</f>
        <v>60.0727</v>
      </c>
      <c r="C2545" t="s">
        <v>2371</v>
      </c>
    </row>
    <row r="2546" spans="1:3" x14ac:dyDescent="0.25">
      <c r="A2546" t="str">
        <f t="shared" si="62"/>
        <v>60</v>
      </c>
      <c r="B2546" t="str">
        <f>"60.0728"</f>
        <v>60.0728</v>
      </c>
      <c r="C2546" t="s">
        <v>2372</v>
      </c>
    </row>
    <row r="2547" spans="1:3" x14ac:dyDescent="0.25">
      <c r="A2547" t="str">
        <f t="shared" si="62"/>
        <v>60</v>
      </c>
      <c r="B2547" t="str">
        <f>"60.0729"</f>
        <v>60.0729</v>
      </c>
      <c r="C2547" t="s">
        <v>2373</v>
      </c>
    </row>
    <row r="2548" spans="1:3" x14ac:dyDescent="0.25">
      <c r="A2548" t="str">
        <f t="shared" si="62"/>
        <v>60</v>
      </c>
      <c r="B2548" t="str">
        <f>"60.0730"</f>
        <v>60.0730</v>
      </c>
      <c r="C2548" t="s">
        <v>2374</v>
      </c>
    </row>
    <row r="2549" spans="1:3" x14ac:dyDescent="0.25">
      <c r="A2549" t="str">
        <f t="shared" si="62"/>
        <v>60</v>
      </c>
      <c r="B2549" t="str">
        <f>"60.0731"</f>
        <v>60.0731</v>
      </c>
      <c r="C2549" t="s">
        <v>2375</v>
      </c>
    </row>
    <row r="2550" spans="1:3" x14ac:dyDescent="0.25">
      <c r="A2550" t="str">
        <f t="shared" si="62"/>
        <v>60</v>
      </c>
      <c r="B2550" t="str">
        <f>"60.0732"</f>
        <v>60.0732</v>
      </c>
      <c r="C2550" t="s">
        <v>2376</v>
      </c>
    </row>
    <row r="2551" spans="1:3" x14ac:dyDescent="0.25">
      <c r="A2551" t="str">
        <f t="shared" ref="A2551:A2614" si="63">"60"</f>
        <v>60</v>
      </c>
      <c r="B2551" t="str">
        <f>"60.0733"</f>
        <v>60.0733</v>
      </c>
      <c r="C2551" t="s">
        <v>2377</v>
      </c>
    </row>
    <row r="2552" spans="1:3" x14ac:dyDescent="0.25">
      <c r="A2552" t="str">
        <f t="shared" si="63"/>
        <v>60</v>
      </c>
      <c r="B2552" t="str">
        <f>"60.0734"</f>
        <v>60.0734</v>
      </c>
      <c r="C2552" t="s">
        <v>2378</v>
      </c>
    </row>
    <row r="2553" spans="1:3" x14ac:dyDescent="0.25">
      <c r="A2553" t="str">
        <f t="shared" si="63"/>
        <v>60</v>
      </c>
      <c r="B2553" t="str">
        <f>"60.0735"</f>
        <v>60.0735</v>
      </c>
      <c r="C2553" t="s">
        <v>2379</v>
      </c>
    </row>
    <row r="2554" spans="1:3" x14ac:dyDescent="0.25">
      <c r="A2554" t="str">
        <f t="shared" si="63"/>
        <v>60</v>
      </c>
      <c r="B2554" t="str">
        <f>"60.0736"</f>
        <v>60.0736</v>
      </c>
      <c r="C2554" t="s">
        <v>2380</v>
      </c>
    </row>
    <row r="2555" spans="1:3" x14ac:dyDescent="0.25">
      <c r="A2555" t="str">
        <f t="shared" si="63"/>
        <v>60</v>
      </c>
      <c r="B2555" t="str">
        <f>"60.0737"</f>
        <v>60.0737</v>
      </c>
      <c r="C2555" t="s">
        <v>2381</v>
      </c>
    </row>
    <row r="2556" spans="1:3" x14ac:dyDescent="0.25">
      <c r="A2556" t="str">
        <f t="shared" si="63"/>
        <v>60</v>
      </c>
      <c r="B2556" t="str">
        <f>"60.0738"</f>
        <v>60.0738</v>
      </c>
      <c r="C2556" t="s">
        <v>2382</v>
      </c>
    </row>
    <row r="2557" spans="1:3" x14ac:dyDescent="0.25">
      <c r="A2557" t="str">
        <f t="shared" si="63"/>
        <v>60</v>
      </c>
      <c r="B2557" t="str">
        <f>"60.0739"</f>
        <v>60.0739</v>
      </c>
      <c r="C2557" t="s">
        <v>2383</v>
      </c>
    </row>
    <row r="2558" spans="1:3" x14ac:dyDescent="0.25">
      <c r="A2558" t="str">
        <f t="shared" si="63"/>
        <v>60</v>
      </c>
      <c r="B2558" t="str">
        <f>"60.0740"</f>
        <v>60.0740</v>
      </c>
      <c r="C2558" t="s">
        <v>2384</v>
      </c>
    </row>
    <row r="2559" spans="1:3" x14ac:dyDescent="0.25">
      <c r="A2559" t="str">
        <f t="shared" si="63"/>
        <v>60</v>
      </c>
      <c r="B2559" t="str">
        <f>"60.0741"</f>
        <v>60.0741</v>
      </c>
      <c r="C2559" t="s">
        <v>2385</v>
      </c>
    </row>
    <row r="2560" spans="1:3" x14ac:dyDescent="0.25">
      <c r="A2560" t="str">
        <f t="shared" si="63"/>
        <v>60</v>
      </c>
      <c r="B2560" t="str">
        <f>"60.0742"</f>
        <v>60.0742</v>
      </c>
      <c r="C2560" t="s">
        <v>2386</v>
      </c>
    </row>
    <row r="2561" spans="1:3" x14ac:dyDescent="0.25">
      <c r="A2561" t="str">
        <f t="shared" si="63"/>
        <v>60</v>
      </c>
      <c r="B2561" t="str">
        <f>"60.0743"</f>
        <v>60.0743</v>
      </c>
      <c r="C2561" t="s">
        <v>2387</v>
      </c>
    </row>
    <row r="2562" spans="1:3" x14ac:dyDescent="0.25">
      <c r="A2562" t="str">
        <f t="shared" si="63"/>
        <v>60</v>
      </c>
      <c r="B2562" t="str">
        <f>"60.0744"</f>
        <v>60.0744</v>
      </c>
      <c r="C2562" t="s">
        <v>2388</v>
      </c>
    </row>
    <row r="2563" spans="1:3" x14ac:dyDescent="0.25">
      <c r="A2563" t="str">
        <f t="shared" si="63"/>
        <v>60</v>
      </c>
      <c r="B2563" t="str">
        <f>"60.0745"</f>
        <v>60.0745</v>
      </c>
      <c r="C2563" t="s">
        <v>2389</v>
      </c>
    </row>
    <row r="2564" spans="1:3" x14ac:dyDescent="0.25">
      <c r="A2564" t="str">
        <f t="shared" si="63"/>
        <v>60</v>
      </c>
      <c r="B2564" t="str">
        <f>"60.0746"</f>
        <v>60.0746</v>
      </c>
      <c r="C2564" t="s">
        <v>2390</v>
      </c>
    </row>
    <row r="2565" spans="1:3" x14ac:dyDescent="0.25">
      <c r="A2565" t="str">
        <f t="shared" si="63"/>
        <v>60</v>
      </c>
      <c r="B2565" t="str">
        <f>"60.0747"</f>
        <v>60.0747</v>
      </c>
      <c r="C2565" t="s">
        <v>2391</v>
      </c>
    </row>
    <row r="2566" spans="1:3" x14ac:dyDescent="0.25">
      <c r="A2566" t="str">
        <f t="shared" si="63"/>
        <v>60</v>
      </c>
      <c r="B2566" t="str">
        <f>"60.0748"</f>
        <v>60.0748</v>
      </c>
      <c r="C2566" t="s">
        <v>2392</v>
      </c>
    </row>
    <row r="2567" spans="1:3" x14ac:dyDescent="0.25">
      <c r="A2567" t="str">
        <f t="shared" si="63"/>
        <v>60</v>
      </c>
      <c r="B2567" t="str">
        <f>"60.0749"</f>
        <v>60.0749</v>
      </c>
      <c r="C2567" t="s">
        <v>2393</v>
      </c>
    </row>
    <row r="2568" spans="1:3" x14ac:dyDescent="0.25">
      <c r="A2568" t="str">
        <f t="shared" si="63"/>
        <v>60</v>
      </c>
      <c r="B2568" t="str">
        <f>"60.0750"</f>
        <v>60.0750</v>
      </c>
      <c r="C2568" t="s">
        <v>2394</v>
      </c>
    </row>
    <row r="2569" spans="1:3" x14ac:dyDescent="0.25">
      <c r="A2569" t="str">
        <f t="shared" si="63"/>
        <v>60</v>
      </c>
      <c r="B2569" t="str">
        <f>"60.0751"</f>
        <v>60.0751</v>
      </c>
      <c r="C2569" t="s">
        <v>2395</v>
      </c>
    </row>
    <row r="2570" spans="1:3" x14ac:dyDescent="0.25">
      <c r="A2570" t="str">
        <f t="shared" si="63"/>
        <v>60</v>
      </c>
      <c r="B2570" t="str">
        <f>"60.0799"</f>
        <v>60.0799</v>
      </c>
      <c r="C2570" t="s">
        <v>2396</v>
      </c>
    </row>
    <row r="2571" spans="1:3" x14ac:dyDescent="0.25">
      <c r="A2571" t="str">
        <f t="shared" si="63"/>
        <v>60</v>
      </c>
      <c r="B2571" t="str">
        <f>"60.08"</f>
        <v>60.08</v>
      </c>
      <c r="C2571" t="s">
        <v>2397</v>
      </c>
    </row>
    <row r="2572" spans="1:3" x14ac:dyDescent="0.25">
      <c r="A2572" t="str">
        <f t="shared" si="63"/>
        <v>60</v>
      </c>
      <c r="B2572" t="str">
        <f>"60.0801"</f>
        <v>60.0801</v>
      </c>
      <c r="C2572" t="s">
        <v>2398</v>
      </c>
    </row>
    <row r="2573" spans="1:3" x14ac:dyDescent="0.25">
      <c r="A2573" t="str">
        <f t="shared" si="63"/>
        <v>60</v>
      </c>
      <c r="B2573" t="str">
        <f>"60.0802"</f>
        <v>60.0802</v>
      </c>
      <c r="C2573" t="s">
        <v>2399</v>
      </c>
    </row>
    <row r="2574" spans="1:3" x14ac:dyDescent="0.25">
      <c r="A2574" t="str">
        <f t="shared" si="63"/>
        <v>60</v>
      </c>
      <c r="B2574" t="str">
        <f>"60.0803"</f>
        <v>60.0803</v>
      </c>
      <c r="C2574" t="s">
        <v>2400</v>
      </c>
    </row>
    <row r="2575" spans="1:3" x14ac:dyDescent="0.25">
      <c r="A2575" t="str">
        <f t="shared" si="63"/>
        <v>60</v>
      </c>
      <c r="B2575" t="str">
        <f>"60.0804"</f>
        <v>60.0804</v>
      </c>
      <c r="C2575" t="s">
        <v>2401</v>
      </c>
    </row>
    <row r="2576" spans="1:3" x14ac:dyDescent="0.25">
      <c r="A2576" t="str">
        <f t="shared" si="63"/>
        <v>60</v>
      </c>
      <c r="B2576" t="str">
        <f>"60.0805"</f>
        <v>60.0805</v>
      </c>
      <c r="C2576" t="s">
        <v>2402</v>
      </c>
    </row>
    <row r="2577" spans="1:3" x14ac:dyDescent="0.25">
      <c r="A2577" t="str">
        <f t="shared" si="63"/>
        <v>60</v>
      </c>
      <c r="B2577" t="str">
        <f>"60.0806"</f>
        <v>60.0806</v>
      </c>
      <c r="C2577" t="s">
        <v>2403</v>
      </c>
    </row>
    <row r="2578" spans="1:3" x14ac:dyDescent="0.25">
      <c r="A2578" t="str">
        <f t="shared" si="63"/>
        <v>60</v>
      </c>
      <c r="B2578" t="str">
        <f>"60.0807"</f>
        <v>60.0807</v>
      </c>
      <c r="C2578" t="s">
        <v>2404</v>
      </c>
    </row>
    <row r="2579" spans="1:3" x14ac:dyDescent="0.25">
      <c r="A2579" t="str">
        <f t="shared" si="63"/>
        <v>60</v>
      </c>
      <c r="B2579" t="str">
        <f>"60.0808"</f>
        <v>60.0808</v>
      </c>
      <c r="C2579" t="s">
        <v>2405</v>
      </c>
    </row>
    <row r="2580" spans="1:3" x14ac:dyDescent="0.25">
      <c r="A2580" t="str">
        <f t="shared" si="63"/>
        <v>60</v>
      </c>
      <c r="B2580" t="str">
        <f>"60.0809"</f>
        <v>60.0809</v>
      </c>
      <c r="C2580" t="s">
        <v>2406</v>
      </c>
    </row>
    <row r="2581" spans="1:3" x14ac:dyDescent="0.25">
      <c r="A2581" t="str">
        <f t="shared" si="63"/>
        <v>60</v>
      </c>
      <c r="B2581" t="str">
        <f>"60.0810"</f>
        <v>60.0810</v>
      </c>
      <c r="C2581" t="s">
        <v>2407</v>
      </c>
    </row>
    <row r="2582" spans="1:3" x14ac:dyDescent="0.25">
      <c r="A2582" t="str">
        <f t="shared" si="63"/>
        <v>60</v>
      </c>
      <c r="B2582" t="str">
        <f>"60.0811"</f>
        <v>60.0811</v>
      </c>
      <c r="C2582" t="s">
        <v>2408</v>
      </c>
    </row>
    <row r="2583" spans="1:3" x14ac:dyDescent="0.25">
      <c r="A2583" t="str">
        <f t="shared" si="63"/>
        <v>60</v>
      </c>
      <c r="B2583" t="str">
        <f>"60.0812"</f>
        <v>60.0812</v>
      </c>
      <c r="C2583" t="s">
        <v>2409</v>
      </c>
    </row>
    <row r="2584" spans="1:3" x14ac:dyDescent="0.25">
      <c r="A2584" t="str">
        <f t="shared" si="63"/>
        <v>60</v>
      </c>
      <c r="B2584" t="str">
        <f>"60.0813"</f>
        <v>60.0813</v>
      </c>
      <c r="C2584" t="s">
        <v>2410</v>
      </c>
    </row>
    <row r="2585" spans="1:3" x14ac:dyDescent="0.25">
      <c r="A2585" t="str">
        <f t="shared" si="63"/>
        <v>60</v>
      </c>
      <c r="B2585" t="str">
        <f>"60.0814"</f>
        <v>60.0814</v>
      </c>
      <c r="C2585" t="s">
        <v>2411</v>
      </c>
    </row>
    <row r="2586" spans="1:3" x14ac:dyDescent="0.25">
      <c r="A2586" t="str">
        <f t="shared" si="63"/>
        <v>60</v>
      </c>
      <c r="B2586" t="str">
        <f>"60.0815"</f>
        <v>60.0815</v>
      </c>
      <c r="C2586" t="s">
        <v>2412</v>
      </c>
    </row>
    <row r="2587" spans="1:3" x14ac:dyDescent="0.25">
      <c r="A2587" t="str">
        <f t="shared" si="63"/>
        <v>60</v>
      </c>
      <c r="B2587" t="str">
        <f>"60.0816"</f>
        <v>60.0816</v>
      </c>
      <c r="C2587" t="s">
        <v>2413</v>
      </c>
    </row>
    <row r="2588" spans="1:3" x14ac:dyDescent="0.25">
      <c r="A2588" t="str">
        <f t="shared" si="63"/>
        <v>60</v>
      </c>
      <c r="B2588" t="str">
        <f>"60.0817"</f>
        <v>60.0817</v>
      </c>
      <c r="C2588" t="s">
        <v>2414</v>
      </c>
    </row>
    <row r="2589" spans="1:3" x14ac:dyDescent="0.25">
      <c r="A2589" t="str">
        <f t="shared" si="63"/>
        <v>60</v>
      </c>
      <c r="B2589" t="str">
        <f>"60.0818"</f>
        <v>60.0818</v>
      </c>
      <c r="C2589" t="s">
        <v>2415</v>
      </c>
    </row>
    <row r="2590" spans="1:3" x14ac:dyDescent="0.25">
      <c r="A2590" t="str">
        <f t="shared" si="63"/>
        <v>60</v>
      </c>
      <c r="B2590" t="str">
        <f>"60.0819"</f>
        <v>60.0819</v>
      </c>
      <c r="C2590" t="s">
        <v>2416</v>
      </c>
    </row>
    <row r="2591" spans="1:3" x14ac:dyDescent="0.25">
      <c r="A2591" t="str">
        <f t="shared" si="63"/>
        <v>60</v>
      </c>
      <c r="B2591" t="str">
        <f>"60.0820"</f>
        <v>60.0820</v>
      </c>
      <c r="C2591" t="s">
        <v>2417</v>
      </c>
    </row>
    <row r="2592" spans="1:3" x14ac:dyDescent="0.25">
      <c r="A2592" t="str">
        <f t="shared" si="63"/>
        <v>60</v>
      </c>
      <c r="B2592" t="str">
        <f>"60.0821"</f>
        <v>60.0821</v>
      </c>
      <c r="C2592" t="s">
        <v>2418</v>
      </c>
    </row>
    <row r="2593" spans="1:3" x14ac:dyDescent="0.25">
      <c r="A2593" t="str">
        <f t="shared" si="63"/>
        <v>60</v>
      </c>
      <c r="B2593" t="str">
        <f>"60.0822"</f>
        <v>60.0822</v>
      </c>
      <c r="C2593" t="s">
        <v>2419</v>
      </c>
    </row>
    <row r="2594" spans="1:3" x14ac:dyDescent="0.25">
      <c r="A2594" t="str">
        <f t="shared" si="63"/>
        <v>60</v>
      </c>
      <c r="B2594" t="str">
        <f>"60.0823"</f>
        <v>60.0823</v>
      </c>
      <c r="C2594" t="s">
        <v>2420</v>
      </c>
    </row>
    <row r="2595" spans="1:3" x14ac:dyDescent="0.25">
      <c r="A2595" t="str">
        <f t="shared" si="63"/>
        <v>60</v>
      </c>
      <c r="B2595" t="str">
        <f>"60.0824"</f>
        <v>60.0824</v>
      </c>
      <c r="C2595" t="s">
        <v>2421</v>
      </c>
    </row>
    <row r="2596" spans="1:3" x14ac:dyDescent="0.25">
      <c r="A2596" t="str">
        <f t="shared" si="63"/>
        <v>60</v>
      </c>
      <c r="B2596" t="str">
        <f>"60.0825"</f>
        <v>60.0825</v>
      </c>
      <c r="C2596" t="s">
        <v>2422</v>
      </c>
    </row>
    <row r="2597" spans="1:3" x14ac:dyDescent="0.25">
      <c r="A2597" t="str">
        <f t="shared" si="63"/>
        <v>60</v>
      </c>
      <c r="B2597" t="str">
        <f>"60.0826"</f>
        <v>60.0826</v>
      </c>
      <c r="C2597" t="s">
        <v>2423</v>
      </c>
    </row>
    <row r="2598" spans="1:3" x14ac:dyDescent="0.25">
      <c r="A2598" t="str">
        <f t="shared" si="63"/>
        <v>60</v>
      </c>
      <c r="B2598" t="str">
        <f>"60.0827"</f>
        <v>60.0827</v>
      </c>
      <c r="C2598" t="s">
        <v>2424</v>
      </c>
    </row>
    <row r="2599" spans="1:3" x14ac:dyDescent="0.25">
      <c r="A2599" t="str">
        <f t="shared" si="63"/>
        <v>60</v>
      </c>
      <c r="B2599" t="str">
        <f>"60.0828"</f>
        <v>60.0828</v>
      </c>
      <c r="C2599" t="s">
        <v>2425</v>
      </c>
    </row>
    <row r="2600" spans="1:3" x14ac:dyDescent="0.25">
      <c r="A2600" t="str">
        <f t="shared" si="63"/>
        <v>60</v>
      </c>
      <c r="B2600" t="str">
        <f>"60.0829"</f>
        <v>60.0829</v>
      </c>
      <c r="C2600" t="s">
        <v>2426</v>
      </c>
    </row>
    <row r="2601" spans="1:3" x14ac:dyDescent="0.25">
      <c r="A2601" t="str">
        <f t="shared" si="63"/>
        <v>60</v>
      </c>
      <c r="B2601" t="str">
        <f>"60.0830"</f>
        <v>60.0830</v>
      </c>
      <c r="C2601" t="s">
        <v>2427</v>
      </c>
    </row>
    <row r="2602" spans="1:3" x14ac:dyDescent="0.25">
      <c r="A2602" t="str">
        <f t="shared" si="63"/>
        <v>60</v>
      </c>
      <c r="B2602" t="str">
        <f>"60.0831"</f>
        <v>60.0831</v>
      </c>
      <c r="C2602" t="s">
        <v>2428</v>
      </c>
    </row>
    <row r="2603" spans="1:3" x14ac:dyDescent="0.25">
      <c r="A2603" t="str">
        <f t="shared" si="63"/>
        <v>60</v>
      </c>
      <c r="B2603" t="str">
        <f>"60.0832"</f>
        <v>60.0832</v>
      </c>
      <c r="C2603" t="s">
        <v>2429</v>
      </c>
    </row>
    <row r="2604" spans="1:3" x14ac:dyDescent="0.25">
      <c r="A2604" t="str">
        <f t="shared" si="63"/>
        <v>60</v>
      </c>
      <c r="B2604" t="str">
        <f>"60.0899"</f>
        <v>60.0899</v>
      </c>
      <c r="C2604" t="s">
        <v>2430</v>
      </c>
    </row>
    <row r="2605" spans="1:3" x14ac:dyDescent="0.25">
      <c r="A2605" t="str">
        <f t="shared" si="63"/>
        <v>60</v>
      </c>
      <c r="B2605" t="str">
        <f>"60.09"</f>
        <v>60.09</v>
      </c>
      <c r="C2605" t="s">
        <v>2431</v>
      </c>
    </row>
    <row r="2606" spans="1:3" x14ac:dyDescent="0.25">
      <c r="A2606" t="str">
        <f t="shared" si="63"/>
        <v>60</v>
      </c>
      <c r="B2606" t="str">
        <f>"60.0901"</f>
        <v>60.0901</v>
      </c>
      <c r="C2606" t="s">
        <v>2432</v>
      </c>
    </row>
    <row r="2607" spans="1:3" x14ac:dyDescent="0.25">
      <c r="A2607" t="str">
        <f t="shared" si="63"/>
        <v>60</v>
      </c>
      <c r="B2607" t="str">
        <f>"60.0902"</f>
        <v>60.0902</v>
      </c>
      <c r="C2607" t="s">
        <v>2433</v>
      </c>
    </row>
    <row r="2608" spans="1:3" x14ac:dyDescent="0.25">
      <c r="A2608" t="str">
        <f t="shared" si="63"/>
        <v>60</v>
      </c>
      <c r="B2608" t="str">
        <f>"60.0903"</f>
        <v>60.0903</v>
      </c>
      <c r="C2608" t="s">
        <v>2434</v>
      </c>
    </row>
    <row r="2609" spans="1:3" x14ac:dyDescent="0.25">
      <c r="A2609" t="str">
        <f t="shared" si="63"/>
        <v>60</v>
      </c>
      <c r="B2609" t="str">
        <f>"60.0904"</f>
        <v>60.0904</v>
      </c>
      <c r="C2609" t="s">
        <v>2435</v>
      </c>
    </row>
    <row r="2610" spans="1:3" x14ac:dyDescent="0.25">
      <c r="A2610" t="str">
        <f t="shared" si="63"/>
        <v>60</v>
      </c>
      <c r="B2610" t="str">
        <f>"60.0905"</f>
        <v>60.0905</v>
      </c>
      <c r="C2610" t="s">
        <v>2436</v>
      </c>
    </row>
    <row r="2611" spans="1:3" x14ac:dyDescent="0.25">
      <c r="A2611" t="str">
        <f t="shared" si="63"/>
        <v>60</v>
      </c>
      <c r="B2611" t="str">
        <f>"60.0906"</f>
        <v>60.0906</v>
      </c>
      <c r="C2611" t="s">
        <v>2437</v>
      </c>
    </row>
    <row r="2612" spans="1:3" x14ac:dyDescent="0.25">
      <c r="A2612" t="str">
        <f t="shared" si="63"/>
        <v>60</v>
      </c>
      <c r="B2612" t="str">
        <f>"60.0907"</f>
        <v>60.0907</v>
      </c>
      <c r="C2612" t="s">
        <v>2438</v>
      </c>
    </row>
    <row r="2613" spans="1:3" x14ac:dyDescent="0.25">
      <c r="A2613" t="str">
        <f t="shared" si="63"/>
        <v>60</v>
      </c>
      <c r="B2613" t="str">
        <f>"60.0908"</f>
        <v>60.0908</v>
      </c>
      <c r="C2613" t="s">
        <v>2439</v>
      </c>
    </row>
    <row r="2614" spans="1:3" x14ac:dyDescent="0.25">
      <c r="A2614" t="str">
        <f t="shared" si="63"/>
        <v>60</v>
      </c>
      <c r="B2614" t="str">
        <f>"60.0909"</f>
        <v>60.0909</v>
      </c>
      <c r="C2614" t="s">
        <v>2440</v>
      </c>
    </row>
    <row r="2615" spans="1:3" x14ac:dyDescent="0.25">
      <c r="A2615" t="str">
        <f t="shared" ref="A2615:A2628" si="64">"60"</f>
        <v>60</v>
      </c>
      <c r="B2615" t="str">
        <f>"60.0910"</f>
        <v>60.0910</v>
      </c>
      <c r="C2615" t="s">
        <v>2441</v>
      </c>
    </row>
    <row r="2616" spans="1:3" x14ac:dyDescent="0.25">
      <c r="A2616" t="str">
        <f t="shared" si="64"/>
        <v>60</v>
      </c>
      <c r="B2616" t="str">
        <f>"60.0911"</f>
        <v>60.0911</v>
      </c>
      <c r="C2616" t="s">
        <v>2442</v>
      </c>
    </row>
    <row r="2617" spans="1:3" x14ac:dyDescent="0.25">
      <c r="A2617" t="str">
        <f t="shared" si="64"/>
        <v>60</v>
      </c>
      <c r="B2617" t="str">
        <f>"60.0912"</f>
        <v>60.0912</v>
      </c>
      <c r="C2617" t="s">
        <v>2443</v>
      </c>
    </row>
    <row r="2618" spans="1:3" x14ac:dyDescent="0.25">
      <c r="A2618" t="str">
        <f t="shared" si="64"/>
        <v>60</v>
      </c>
      <c r="B2618" t="str">
        <f>"60.0913"</f>
        <v>60.0913</v>
      </c>
      <c r="C2618" t="s">
        <v>2444</v>
      </c>
    </row>
    <row r="2619" spans="1:3" x14ac:dyDescent="0.25">
      <c r="A2619" t="str">
        <f t="shared" si="64"/>
        <v>60</v>
      </c>
      <c r="B2619" t="str">
        <f>"60.0914"</f>
        <v>60.0914</v>
      </c>
      <c r="C2619" t="s">
        <v>2445</v>
      </c>
    </row>
    <row r="2620" spans="1:3" x14ac:dyDescent="0.25">
      <c r="A2620" t="str">
        <f t="shared" si="64"/>
        <v>60</v>
      </c>
      <c r="B2620" t="str">
        <f>"60.0915"</f>
        <v>60.0915</v>
      </c>
      <c r="C2620" t="s">
        <v>2446</v>
      </c>
    </row>
    <row r="2621" spans="1:3" x14ac:dyDescent="0.25">
      <c r="A2621" t="str">
        <f t="shared" si="64"/>
        <v>60</v>
      </c>
      <c r="B2621" t="str">
        <f>"60.0916"</f>
        <v>60.0916</v>
      </c>
      <c r="C2621" t="s">
        <v>2447</v>
      </c>
    </row>
    <row r="2622" spans="1:3" x14ac:dyDescent="0.25">
      <c r="A2622" t="str">
        <f t="shared" si="64"/>
        <v>60</v>
      </c>
      <c r="B2622" t="str">
        <f>"60.0917"</f>
        <v>60.0917</v>
      </c>
      <c r="C2622" t="s">
        <v>2448</v>
      </c>
    </row>
    <row r="2623" spans="1:3" x14ac:dyDescent="0.25">
      <c r="A2623" t="str">
        <f t="shared" si="64"/>
        <v>60</v>
      </c>
      <c r="B2623" t="str">
        <f>"60.0918"</f>
        <v>60.0918</v>
      </c>
      <c r="C2623" t="s">
        <v>2449</v>
      </c>
    </row>
    <row r="2624" spans="1:3" x14ac:dyDescent="0.25">
      <c r="A2624" t="str">
        <f t="shared" si="64"/>
        <v>60</v>
      </c>
      <c r="B2624" t="str">
        <f>"60.0919"</f>
        <v>60.0919</v>
      </c>
      <c r="C2624" t="s">
        <v>2450</v>
      </c>
    </row>
    <row r="2625" spans="1:3" x14ac:dyDescent="0.25">
      <c r="A2625" t="str">
        <f t="shared" si="64"/>
        <v>60</v>
      </c>
      <c r="B2625" t="str">
        <f>"60.0920"</f>
        <v>60.0920</v>
      </c>
      <c r="C2625" t="s">
        <v>2451</v>
      </c>
    </row>
    <row r="2626" spans="1:3" x14ac:dyDescent="0.25">
      <c r="A2626" t="str">
        <f t="shared" si="64"/>
        <v>60</v>
      </c>
      <c r="B2626" t="str">
        <f>"60.0999"</f>
        <v>60.0999</v>
      </c>
      <c r="C2626" t="s">
        <v>2452</v>
      </c>
    </row>
    <row r="2627" spans="1:3" x14ac:dyDescent="0.25">
      <c r="A2627" t="str">
        <f t="shared" si="64"/>
        <v>60</v>
      </c>
      <c r="B2627" t="str">
        <f>"60.99"</f>
        <v>60.99</v>
      </c>
      <c r="C2627" t="s">
        <v>2453</v>
      </c>
    </row>
    <row r="2628" spans="1:3" x14ac:dyDescent="0.25">
      <c r="A2628" t="str">
        <f t="shared" si="64"/>
        <v>60</v>
      </c>
      <c r="B2628" t="str">
        <f>"60.9999"</f>
        <v>60.9999</v>
      </c>
      <c r="C2628" t="s">
        <v>2453</v>
      </c>
    </row>
    <row r="2629" spans="1:3" x14ac:dyDescent="0.25">
      <c r="A2629" t="str">
        <f>"61"</f>
        <v>61</v>
      </c>
      <c r="B2629" t="str">
        <f>"61"</f>
        <v>61</v>
      </c>
      <c r="C2629" t="s">
        <v>2454</v>
      </c>
    </row>
    <row r="2630" spans="1:3" x14ac:dyDescent="0.25">
      <c r="A2630" t="str">
        <f t="shared" ref="A2630:A2693" si="65">"61"</f>
        <v>61</v>
      </c>
      <c r="B2630" t="str">
        <f>"61.01"</f>
        <v>61.01</v>
      </c>
      <c r="C2630" t="s">
        <v>2455</v>
      </c>
    </row>
    <row r="2631" spans="1:3" x14ac:dyDescent="0.25">
      <c r="A2631" t="str">
        <f t="shared" si="65"/>
        <v>61</v>
      </c>
      <c r="B2631" t="str">
        <f>"61.0101"</f>
        <v>61.0101</v>
      </c>
      <c r="C2631" t="s">
        <v>2456</v>
      </c>
    </row>
    <row r="2632" spans="1:3" x14ac:dyDescent="0.25">
      <c r="A2632" t="str">
        <f t="shared" si="65"/>
        <v>61</v>
      </c>
      <c r="B2632" t="str">
        <f>"61.0102"</f>
        <v>61.0102</v>
      </c>
      <c r="C2632" t="s">
        <v>2457</v>
      </c>
    </row>
    <row r="2633" spans="1:3" x14ac:dyDescent="0.25">
      <c r="A2633" t="str">
        <f t="shared" si="65"/>
        <v>61</v>
      </c>
      <c r="B2633" t="str">
        <f>"61.0103"</f>
        <v>61.0103</v>
      </c>
      <c r="C2633" t="s">
        <v>2458</v>
      </c>
    </row>
    <row r="2634" spans="1:3" x14ac:dyDescent="0.25">
      <c r="A2634" t="str">
        <f t="shared" si="65"/>
        <v>61</v>
      </c>
      <c r="B2634" t="str">
        <f>"61.0104"</f>
        <v>61.0104</v>
      </c>
      <c r="C2634" t="s">
        <v>2459</v>
      </c>
    </row>
    <row r="2635" spans="1:3" x14ac:dyDescent="0.25">
      <c r="A2635" t="str">
        <f t="shared" si="65"/>
        <v>61</v>
      </c>
      <c r="B2635" t="str">
        <f>"61.0105"</f>
        <v>61.0105</v>
      </c>
      <c r="C2635" t="s">
        <v>2460</v>
      </c>
    </row>
    <row r="2636" spans="1:3" x14ac:dyDescent="0.25">
      <c r="A2636" t="str">
        <f t="shared" si="65"/>
        <v>61</v>
      </c>
      <c r="B2636" t="str">
        <f>"61.0106"</f>
        <v>61.0106</v>
      </c>
      <c r="C2636" t="s">
        <v>2461</v>
      </c>
    </row>
    <row r="2637" spans="1:3" x14ac:dyDescent="0.25">
      <c r="A2637" t="str">
        <f t="shared" si="65"/>
        <v>61</v>
      </c>
      <c r="B2637" t="str">
        <f>"61.0107"</f>
        <v>61.0107</v>
      </c>
      <c r="C2637" t="s">
        <v>2462</v>
      </c>
    </row>
    <row r="2638" spans="1:3" x14ac:dyDescent="0.25">
      <c r="A2638" t="str">
        <f t="shared" si="65"/>
        <v>61</v>
      </c>
      <c r="B2638" t="str">
        <f>"61.0108"</f>
        <v>61.0108</v>
      </c>
      <c r="C2638" t="s">
        <v>2463</v>
      </c>
    </row>
    <row r="2639" spans="1:3" x14ac:dyDescent="0.25">
      <c r="A2639" t="str">
        <f t="shared" si="65"/>
        <v>61</v>
      </c>
      <c r="B2639" t="str">
        <f>"61.0109"</f>
        <v>61.0109</v>
      </c>
      <c r="C2639" t="s">
        <v>2464</v>
      </c>
    </row>
    <row r="2640" spans="1:3" x14ac:dyDescent="0.25">
      <c r="A2640" t="str">
        <f t="shared" si="65"/>
        <v>61</v>
      </c>
      <c r="B2640" t="str">
        <f>"61.0110"</f>
        <v>61.0110</v>
      </c>
      <c r="C2640" t="s">
        <v>2465</v>
      </c>
    </row>
    <row r="2641" spans="1:3" x14ac:dyDescent="0.25">
      <c r="A2641" t="str">
        <f t="shared" si="65"/>
        <v>61</v>
      </c>
      <c r="B2641" t="str">
        <f>"61.0111"</f>
        <v>61.0111</v>
      </c>
      <c r="C2641" t="s">
        <v>2466</v>
      </c>
    </row>
    <row r="2642" spans="1:3" x14ac:dyDescent="0.25">
      <c r="A2642" t="str">
        <f t="shared" si="65"/>
        <v>61</v>
      </c>
      <c r="B2642" t="str">
        <f>"61.0112"</f>
        <v>61.0112</v>
      </c>
      <c r="C2642" t="s">
        <v>2467</v>
      </c>
    </row>
    <row r="2643" spans="1:3" x14ac:dyDescent="0.25">
      <c r="A2643" t="str">
        <f t="shared" si="65"/>
        <v>61</v>
      </c>
      <c r="B2643" t="str">
        <f>"61.0113"</f>
        <v>61.0113</v>
      </c>
      <c r="C2643" t="s">
        <v>2468</v>
      </c>
    </row>
    <row r="2644" spans="1:3" x14ac:dyDescent="0.25">
      <c r="A2644" t="str">
        <f t="shared" si="65"/>
        <v>61</v>
      </c>
      <c r="B2644" t="str">
        <f>"61.0114"</f>
        <v>61.0114</v>
      </c>
      <c r="C2644" t="s">
        <v>2469</v>
      </c>
    </row>
    <row r="2645" spans="1:3" x14ac:dyDescent="0.25">
      <c r="A2645" t="str">
        <f t="shared" si="65"/>
        <v>61</v>
      </c>
      <c r="B2645" t="str">
        <f>"61.0115"</f>
        <v>61.0115</v>
      </c>
      <c r="C2645" t="s">
        <v>2470</v>
      </c>
    </row>
    <row r="2646" spans="1:3" x14ac:dyDescent="0.25">
      <c r="A2646" t="str">
        <f t="shared" si="65"/>
        <v>61</v>
      </c>
      <c r="B2646" t="str">
        <f>"61.0116"</f>
        <v>61.0116</v>
      </c>
      <c r="C2646" t="s">
        <v>2471</v>
      </c>
    </row>
    <row r="2647" spans="1:3" x14ac:dyDescent="0.25">
      <c r="A2647" t="str">
        <f t="shared" si="65"/>
        <v>61</v>
      </c>
      <c r="B2647" t="str">
        <f>"61.0117"</f>
        <v>61.0117</v>
      </c>
      <c r="C2647" t="s">
        <v>2472</v>
      </c>
    </row>
    <row r="2648" spans="1:3" x14ac:dyDescent="0.25">
      <c r="A2648" t="str">
        <f t="shared" si="65"/>
        <v>61</v>
      </c>
      <c r="B2648" t="str">
        <f>"61.0118"</f>
        <v>61.0118</v>
      </c>
      <c r="C2648" t="s">
        <v>2473</v>
      </c>
    </row>
    <row r="2649" spans="1:3" x14ac:dyDescent="0.25">
      <c r="A2649" t="str">
        <f t="shared" si="65"/>
        <v>61</v>
      </c>
      <c r="B2649" t="str">
        <f>"61.0119"</f>
        <v>61.0119</v>
      </c>
      <c r="C2649" t="s">
        <v>2474</v>
      </c>
    </row>
    <row r="2650" spans="1:3" x14ac:dyDescent="0.25">
      <c r="A2650" t="str">
        <f t="shared" si="65"/>
        <v>61</v>
      </c>
      <c r="B2650" t="str">
        <f>"61.0120"</f>
        <v>61.0120</v>
      </c>
      <c r="C2650" t="s">
        <v>2475</v>
      </c>
    </row>
    <row r="2651" spans="1:3" x14ac:dyDescent="0.25">
      <c r="A2651" t="str">
        <f t="shared" si="65"/>
        <v>61</v>
      </c>
      <c r="B2651" t="str">
        <f>"61.0121"</f>
        <v>61.0121</v>
      </c>
      <c r="C2651" t="s">
        <v>2476</v>
      </c>
    </row>
    <row r="2652" spans="1:3" x14ac:dyDescent="0.25">
      <c r="A2652" t="str">
        <f t="shared" si="65"/>
        <v>61</v>
      </c>
      <c r="B2652" t="str">
        <f>"61.0122"</f>
        <v>61.0122</v>
      </c>
      <c r="C2652" t="s">
        <v>2477</v>
      </c>
    </row>
    <row r="2653" spans="1:3" x14ac:dyDescent="0.25">
      <c r="A2653" t="str">
        <f t="shared" si="65"/>
        <v>61</v>
      </c>
      <c r="B2653" t="str">
        <f>"61.0123"</f>
        <v>61.0123</v>
      </c>
      <c r="C2653" t="s">
        <v>2478</v>
      </c>
    </row>
    <row r="2654" spans="1:3" x14ac:dyDescent="0.25">
      <c r="A2654" t="str">
        <f t="shared" si="65"/>
        <v>61</v>
      </c>
      <c r="B2654" t="str">
        <f>"61.0124"</f>
        <v>61.0124</v>
      </c>
      <c r="C2654" t="s">
        <v>2479</v>
      </c>
    </row>
    <row r="2655" spans="1:3" x14ac:dyDescent="0.25">
      <c r="A2655" t="str">
        <f t="shared" si="65"/>
        <v>61</v>
      </c>
      <c r="B2655" t="str">
        <f>"61.0125"</f>
        <v>61.0125</v>
      </c>
      <c r="C2655" t="s">
        <v>2480</v>
      </c>
    </row>
    <row r="2656" spans="1:3" x14ac:dyDescent="0.25">
      <c r="A2656" t="str">
        <f t="shared" si="65"/>
        <v>61</v>
      </c>
      <c r="B2656" t="str">
        <f>"61.0199"</f>
        <v>61.0199</v>
      </c>
      <c r="C2656" t="s">
        <v>2481</v>
      </c>
    </row>
    <row r="2657" spans="1:3" x14ac:dyDescent="0.25">
      <c r="A2657" t="str">
        <f t="shared" si="65"/>
        <v>61</v>
      </c>
      <c r="B2657" t="str">
        <f>"61.02"</f>
        <v>61.02</v>
      </c>
      <c r="C2657" t="s">
        <v>2482</v>
      </c>
    </row>
    <row r="2658" spans="1:3" x14ac:dyDescent="0.25">
      <c r="A2658" t="str">
        <f t="shared" si="65"/>
        <v>61</v>
      </c>
      <c r="B2658" t="str">
        <f>"61.0202"</f>
        <v>61.0202</v>
      </c>
      <c r="C2658" t="s">
        <v>2483</v>
      </c>
    </row>
    <row r="2659" spans="1:3" x14ac:dyDescent="0.25">
      <c r="A2659" t="str">
        <f t="shared" si="65"/>
        <v>61</v>
      </c>
      <c r="B2659" t="str">
        <f>"61.0203"</f>
        <v>61.0203</v>
      </c>
      <c r="C2659" t="s">
        <v>2484</v>
      </c>
    </row>
    <row r="2660" spans="1:3" x14ac:dyDescent="0.25">
      <c r="A2660" t="str">
        <f t="shared" si="65"/>
        <v>61</v>
      </c>
      <c r="B2660" t="str">
        <f>"61.0204"</f>
        <v>61.0204</v>
      </c>
      <c r="C2660" t="s">
        <v>2485</v>
      </c>
    </row>
    <row r="2661" spans="1:3" x14ac:dyDescent="0.25">
      <c r="A2661" t="str">
        <f t="shared" si="65"/>
        <v>61</v>
      </c>
      <c r="B2661" t="str">
        <f>"61.0205"</f>
        <v>61.0205</v>
      </c>
      <c r="C2661" t="s">
        <v>2486</v>
      </c>
    </row>
    <row r="2662" spans="1:3" x14ac:dyDescent="0.25">
      <c r="A2662" t="str">
        <f t="shared" si="65"/>
        <v>61</v>
      </c>
      <c r="B2662" t="str">
        <f>"61.0206"</f>
        <v>61.0206</v>
      </c>
      <c r="C2662" t="s">
        <v>2487</v>
      </c>
    </row>
    <row r="2663" spans="1:3" x14ac:dyDescent="0.25">
      <c r="A2663" t="str">
        <f t="shared" si="65"/>
        <v>61</v>
      </c>
      <c r="B2663" t="str">
        <f>"61.0207"</f>
        <v>61.0207</v>
      </c>
      <c r="C2663" t="s">
        <v>2488</v>
      </c>
    </row>
    <row r="2664" spans="1:3" x14ac:dyDescent="0.25">
      <c r="A2664" t="str">
        <f t="shared" si="65"/>
        <v>61</v>
      </c>
      <c r="B2664" t="str">
        <f>"61.0208"</f>
        <v>61.0208</v>
      </c>
      <c r="C2664" t="s">
        <v>2489</v>
      </c>
    </row>
    <row r="2665" spans="1:3" x14ac:dyDescent="0.25">
      <c r="A2665" t="str">
        <f t="shared" si="65"/>
        <v>61</v>
      </c>
      <c r="B2665" t="str">
        <f>"61.0209"</f>
        <v>61.0209</v>
      </c>
      <c r="C2665" t="s">
        <v>2490</v>
      </c>
    </row>
    <row r="2666" spans="1:3" x14ac:dyDescent="0.25">
      <c r="A2666" t="str">
        <f t="shared" si="65"/>
        <v>61</v>
      </c>
      <c r="B2666" t="str">
        <f>"61.0210"</f>
        <v>61.0210</v>
      </c>
      <c r="C2666" t="s">
        <v>2491</v>
      </c>
    </row>
    <row r="2667" spans="1:3" x14ac:dyDescent="0.25">
      <c r="A2667" t="str">
        <f t="shared" si="65"/>
        <v>61</v>
      </c>
      <c r="B2667" t="str">
        <f>"61.0211"</f>
        <v>61.0211</v>
      </c>
      <c r="C2667" t="s">
        <v>2492</v>
      </c>
    </row>
    <row r="2668" spans="1:3" x14ac:dyDescent="0.25">
      <c r="A2668" t="str">
        <f t="shared" si="65"/>
        <v>61</v>
      </c>
      <c r="B2668" t="str">
        <f>"61.0212"</f>
        <v>61.0212</v>
      </c>
      <c r="C2668" t="s">
        <v>2493</v>
      </c>
    </row>
    <row r="2669" spans="1:3" x14ac:dyDescent="0.25">
      <c r="A2669" t="str">
        <f t="shared" si="65"/>
        <v>61</v>
      </c>
      <c r="B2669" t="str">
        <f>"61.0213"</f>
        <v>61.0213</v>
      </c>
      <c r="C2669" t="s">
        <v>2494</v>
      </c>
    </row>
    <row r="2670" spans="1:3" x14ac:dyDescent="0.25">
      <c r="A2670" t="str">
        <f t="shared" si="65"/>
        <v>61</v>
      </c>
      <c r="B2670" t="str">
        <f>"61.0214"</f>
        <v>61.0214</v>
      </c>
      <c r="C2670" t="s">
        <v>2495</v>
      </c>
    </row>
    <row r="2671" spans="1:3" x14ac:dyDescent="0.25">
      <c r="A2671" t="str">
        <f t="shared" si="65"/>
        <v>61</v>
      </c>
      <c r="B2671" t="str">
        <f>"61.0215"</f>
        <v>61.0215</v>
      </c>
      <c r="C2671" t="s">
        <v>2496</v>
      </c>
    </row>
    <row r="2672" spans="1:3" x14ac:dyDescent="0.25">
      <c r="A2672" t="str">
        <f t="shared" si="65"/>
        <v>61</v>
      </c>
      <c r="B2672" t="str">
        <f>"61.0216"</f>
        <v>61.0216</v>
      </c>
      <c r="C2672" t="s">
        <v>2497</v>
      </c>
    </row>
    <row r="2673" spans="1:3" x14ac:dyDescent="0.25">
      <c r="A2673" t="str">
        <f t="shared" si="65"/>
        <v>61</v>
      </c>
      <c r="B2673" t="str">
        <f>"61.0217"</f>
        <v>61.0217</v>
      </c>
      <c r="C2673" t="s">
        <v>2498</v>
      </c>
    </row>
    <row r="2674" spans="1:3" x14ac:dyDescent="0.25">
      <c r="A2674" t="str">
        <f t="shared" si="65"/>
        <v>61</v>
      </c>
      <c r="B2674" t="str">
        <f>"61.0218"</f>
        <v>61.0218</v>
      </c>
      <c r="C2674" t="s">
        <v>2499</v>
      </c>
    </row>
    <row r="2675" spans="1:3" x14ac:dyDescent="0.25">
      <c r="A2675" t="str">
        <f t="shared" si="65"/>
        <v>61</v>
      </c>
      <c r="B2675" t="str">
        <f>"61.0299"</f>
        <v>61.0299</v>
      </c>
      <c r="C2675" t="s">
        <v>2500</v>
      </c>
    </row>
    <row r="2676" spans="1:3" x14ac:dyDescent="0.25">
      <c r="A2676" t="str">
        <f t="shared" si="65"/>
        <v>61</v>
      </c>
      <c r="B2676" t="str">
        <f>"61.03"</f>
        <v>61.03</v>
      </c>
      <c r="C2676" t="s">
        <v>2501</v>
      </c>
    </row>
    <row r="2677" spans="1:3" x14ac:dyDescent="0.25">
      <c r="A2677" t="str">
        <f t="shared" si="65"/>
        <v>61</v>
      </c>
      <c r="B2677" t="str">
        <f>"61.0301"</f>
        <v>61.0301</v>
      </c>
      <c r="C2677" t="s">
        <v>2502</v>
      </c>
    </row>
    <row r="2678" spans="1:3" x14ac:dyDescent="0.25">
      <c r="A2678" t="str">
        <f t="shared" si="65"/>
        <v>61</v>
      </c>
      <c r="B2678" t="str">
        <f>"61.0399"</f>
        <v>61.0399</v>
      </c>
      <c r="C2678" t="s">
        <v>2503</v>
      </c>
    </row>
    <row r="2679" spans="1:3" x14ac:dyDescent="0.25">
      <c r="A2679" t="str">
        <f t="shared" si="65"/>
        <v>61</v>
      </c>
      <c r="B2679" t="str">
        <f>"61.04"</f>
        <v>61.04</v>
      </c>
      <c r="C2679" t="s">
        <v>2504</v>
      </c>
    </row>
    <row r="2680" spans="1:3" x14ac:dyDescent="0.25">
      <c r="A2680" t="str">
        <f t="shared" si="65"/>
        <v>61</v>
      </c>
      <c r="B2680" t="str">
        <f>"61.0401"</f>
        <v>61.0401</v>
      </c>
      <c r="C2680" t="s">
        <v>2222</v>
      </c>
    </row>
    <row r="2681" spans="1:3" x14ac:dyDescent="0.25">
      <c r="A2681" t="str">
        <f t="shared" si="65"/>
        <v>61</v>
      </c>
      <c r="B2681" t="str">
        <f>"61.0499"</f>
        <v>61.0499</v>
      </c>
      <c r="C2681" t="s">
        <v>2505</v>
      </c>
    </row>
    <row r="2682" spans="1:3" x14ac:dyDescent="0.25">
      <c r="A2682" t="str">
        <f t="shared" si="65"/>
        <v>61</v>
      </c>
      <c r="B2682" t="str">
        <f>"61.05"</f>
        <v>61.05</v>
      </c>
      <c r="C2682" t="s">
        <v>2506</v>
      </c>
    </row>
    <row r="2683" spans="1:3" x14ac:dyDescent="0.25">
      <c r="A2683" t="str">
        <f t="shared" si="65"/>
        <v>61</v>
      </c>
      <c r="B2683" t="str">
        <f>"61.0501"</f>
        <v>61.0501</v>
      </c>
      <c r="C2683" t="s">
        <v>2229</v>
      </c>
    </row>
    <row r="2684" spans="1:3" x14ac:dyDescent="0.25">
      <c r="A2684" t="str">
        <f t="shared" si="65"/>
        <v>61</v>
      </c>
      <c r="B2684" t="str">
        <f>"61.0502"</f>
        <v>61.0502</v>
      </c>
      <c r="C2684" t="s">
        <v>2507</v>
      </c>
    </row>
    <row r="2685" spans="1:3" x14ac:dyDescent="0.25">
      <c r="A2685" t="str">
        <f t="shared" si="65"/>
        <v>61</v>
      </c>
      <c r="B2685" t="str">
        <f>"61.0503"</f>
        <v>61.0503</v>
      </c>
      <c r="C2685" t="s">
        <v>2508</v>
      </c>
    </row>
    <row r="2686" spans="1:3" x14ac:dyDescent="0.25">
      <c r="A2686" t="str">
        <f t="shared" si="65"/>
        <v>61</v>
      </c>
      <c r="B2686" t="str">
        <f>"61.0599"</f>
        <v>61.0599</v>
      </c>
      <c r="C2686" t="s">
        <v>2509</v>
      </c>
    </row>
    <row r="2687" spans="1:3" x14ac:dyDescent="0.25">
      <c r="A2687" t="str">
        <f t="shared" si="65"/>
        <v>61</v>
      </c>
      <c r="B2687" t="str">
        <f>"61.06"</f>
        <v>61.06</v>
      </c>
      <c r="C2687" t="s">
        <v>2510</v>
      </c>
    </row>
    <row r="2688" spans="1:3" x14ac:dyDescent="0.25">
      <c r="A2688" t="str">
        <f t="shared" si="65"/>
        <v>61</v>
      </c>
      <c r="B2688" t="str">
        <f>"61.0601"</f>
        <v>61.0601</v>
      </c>
      <c r="C2688" t="s">
        <v>2231</v>
      </c>
    </row>
    <row r="2689" spans="1:3" x14ac:dyDescent="0.25">
      <c r="A2689" t="str">
        <f t="shared" si="65"/>
        <v>61</v>
      </c>
      <c r="B2689" t="str">
        <f>"61.0602"</f>
        <v>61.0602</v>
      </c>
      <c r="C2689" t="s">
        <v>2511</v>
      </c>
    </row>
    <row r="2690" spans="1:3" x14ac:dyDescent="0.25">
      <c r="A2690" t="str">
        <f t="shared" si="65"/>
        <v>61</v>
      </c>
      <c r="B2690" t="str">
        <f>"61.0603"</f>
        <v>61.0603</v>
      </c>
      <c r="C2690" t="s">
        <v>2512</v>
      </c>
    </row>
    <row r="2691" spans="1:3" x14ac:dyDescent="0.25">
      <c r="A2691" t="str">
        <f t="shared" si="65"/>
        <v>61</v>
      </c>
      <c r="B2691" t="str">
        <f>"61.0699"</f>
        <v>61.0699</v>
      </c>
      <c r="C2691" t="s">
        <v>2513</v>
      </c>
    </row>
    <row r="2692" spans="1:3" x14ac:dyDescent="0.25">
      <c r="A2692" t="str">
        <f t="shared" si="65"/>
        <v>61</v>
      </c>
      <c r="B2692" t="str">
        <f>"61.07"</f>
        <v>61.07</v>
      </c>
      <c r="C2692" t="s">
        <v>2514</v>
      </c>
    </row>
    <row r="2693" spans="1:3" x14ac:dyDescent="0.25">
      <c r="A2693" t="str">
        <f t="shared" si="65"/>
        <v>61</v>
      </c>
      <c r="B2693" t="str">
        <f>"61.0701"</f>
        <v>61.0701</v>
      </c>
      <c r="C2693" t="s">
        <v>2232</v>
      </c>
    </row>
    <row r="2694" spans="1:3" x14ac:dyDescent="0.25">
      <c r="A2694" t="str">
        <f t="shared" ref="A2694:A2757" si="66">"61"</f>
        <v>61</v>
      </c>
      <c r="B2694" t="str">
        <f>"61.0799"</f>
        <v>61.0799</v>
      </c>
      <c r="C2694" t="s">
        <v>2515</v>
      </c>
    </row>
    <row r="2695" spans="1:3" x14ac:dyDescent="0.25">
      <c r="A2695" t="str">
        <f t="shared" si="66"/>
        <v>61</v>
      </c>
      <c r="B2695" t="str">
        <f>"61.08"</f>
        <v>61.08</v>
      </c>
      <c r="C2695" t="s">
        <v>2516</v>
      </c>
    </row>
    <row r="2696" spans="1:3" x14ac:dyDescent="0.25">
      <c r="A2696" t="str">
        <f t="shared" si="66"/>
        <v>61</v>
      </c>
      <c r="B2696" t="str">
        <f>"61.0801"</f>
        <v>61.0801</v>
      </c>
      <c r="C2696" t="s">
        <v>2234</v>
      </c>
    </row>
    <row r="2697" spans="1:3" x14ac:dyDescent="0.25">
      <c r="A2697" t="str">
        <f t="shared" si="66"/>
        <v>61</v>
      </c>
      <c r="B2697" t="str">
        <f>"61.0804"</f>
        <v>61.0804</v>
      </c>
      <c r="C2697" t="s">
        <v>2517</v>
      </c>
    </row>
    <row r="2698" spans="1:3" x14ac:dyDescent="0.25">
      <c r="A2698" t="str">
        <f t="shared" si="66"/>
        <v>61</v>
      </c>
      <c r="B2698" t="str">
        <f>"61.0805"</f>
        <v>61.0805</v>
      </c>
      <c r="C2698" t="s">
        <v>2518</v>
      </c>
    </row>
    <row r="2699" spans="1:3" x14ac:dyDescent="0.25">
      <c r="A2699" t="str">
        <f t="shared" si="66"/>
        <v>61</v>
      </c>
      <c r="B2699" t="str">
        <f>"61.0806"</f>
        <v>61.0806</v>
      </c>
      <c r="C2699" t="s">
        <v>2519</v>
      </c>
    </row>
    <row r="2700" spans="1:3" x14ac:dyDescent="0.25">
      <c r="A2700" t="str">
        <f t="shared" si="66"/>
        <v>61</v>
      </c>
      <c r="B2700" t="str">
        <f>"61.0807"</f>
        <v>61.0807</v>
      </c>
      <c r="C2700" t="s">
        <v>2520</v>
      </c>
    </row>
    <row r="2701" spans="1:3" x14ac:dyDescent="0.25">
      <c r="A2701" t="str">
        <f t="shared" si="66"/>
        <v>61</v>
      </c>
      <c r="B2701" t="str">
        <f>"61.0808"</f>
        <v>61.0808</v>
      </c>
      <c r="C2701" t="s">
        <v>2521</v>
      </c>
    </row>
    <row r="2702" spans="1:3" x14ac:dyDescent="0.25">
      <c r="A2702" t="str">
        <f t="shared" si="66"/>
        <v>61</v>
      </c>
      <c r="B2702" t="str">
        <f>"61.0809"</f>
        <v>61.0809</v>
      </c>
      <c r="C2702" t="s">
        <v>2522</v>
      </c>
    </row>
    <row r="2703" spans="1:3" x14ac:dyDescent="0.25">
      <c r="A2703" t="str">
        <f t="shared" si="66"/>
        <v>61</v>
      </c>
      <c r="B2703" t="str">
        <f>"61.0810"</f>
        <v>61.0810</v>
      </c>
      <c r="C2703" t="s">
        <v>2523</v>
      </c>
    </row>
    <row r="2704" spans="1:3" x14ac:dyDescent="0.25">
      <c r="A2704" t="str">
        <f t="shared" si="66"/>
        <v>61</v>
      </c>
      <c r="B2704" t="str">
        <f>"61.0811"</f>
        <v>61.0811</v>
      </c>
      <c r="C2704" t="s">
        <v>2524</v>
      </c>
    </row>
    <row r="2705" spans="1:3" x14ac:dyDescent="0.25">
      <c r="A2705" t="str">
        <f t="shared" si="66"/>
        <v>61</v>
      </c>
      <c r="B2705" t="str">
        <f>"61.0812"</f>
        <v>61.0812</v>
      </c>
      <c r="C2705" t="s">
        <v>2525</v>
      </c>
    </row>
    <row r="2706" spans="1:3" x14ac:dyDescent="0.25">
      <c r="A2706" t="str">
        <f t="shared" si="66"/>
        <v>61</v>
      </c>
      <c r="B2706" t="str">
        <f>"61.0813"</f>
        <v>61.0813</v>
      </c>
      <c r="C2706" t="s">
        <v>2526</v>
      </c>
    </row>
    <row r="2707" spans="1:3" x14ac:dyDescent="0.25">
      <c r="A2707" t="str">
        <f t="shared" si="66"/>
        <v>61</v>
      </c>
      <c r="B2707" t="str">
        <f>"61.0814"</f>
        <v>61.0814</v>
      </c>
      <c r="C2707" t="s">
        <v>2527</v>
      </c>
    </row>
    <row r="2708" spans="1:3" x14ac:dyDescent="0.25">
      <c r="A2708" t="str">
        <f t="shared" si="66"/>
        <v>61</v>
      </c>
      <c r="B2708" t="str">
        <f>"61.0816"</f>
        <v>61.0816</v>
      </c>
      <c r="C2708" t="s">
        <v>2528</v>
      </c>
    </row>
    <row r="2709" spans="1:3" x14ac:dyDescent="0.25">
      <c r="A2709" t="str">
        <f t="shared" si="66"/>
        <v>61</v>
      </c>
      <c r="B2709" t="str">
        <f>"61.0818"</f>
        <v>61.0818</v>
      </c>
      <c r="C2709" t="s">
        <v>2529</v>
      </c>
    </row>
    <row r="2710" spans="1:3" x14ac:dyDescent="0.25">
      <c r="A2710" t="str">
        <f t="shared" si="66"/>
        <v>61</v>
      </c>
      <c r="B2710" t="str">
        <f>"61.0899"</f>
        <v>61.0899</v>
      </c>
      <c r="C2710" t="s">
        <v>2530</v>
      </c>
    </row>
    <row r="2711" spans="1:3" x14ac:dyDescent="0.25">
      <c r="A2711" t="str">
        <f t="shared" si="66"/>
        <v>61</v>
      </c>
      <c r="B2711" t="str">
        <f>"61.09"</f>
        <v>61.09</v>
      </c>
      <c r="C2711" t="s">
        <v>2531</v>
      </c>
    </row>
    <row r="2712" spans="1:3" x14ac:dyDescent="0.25">
      <c r="A2712" t="str">
        <f t="shared" si="66"/>
        <v>61</v>
      </c>
      <c r="B2712" t="str">
        <f>"61.0901"</f>
        <v>61.0901</v>
      </c>
      <c r="C2712" t="s">
        <v>2224</v>
      </c>
    </row>
    <row r="2713" spans="1:3" x14ac:dyDescent="0.25">
      <c r="A2713" t="str">
        <f t="shared" si="66"/>
        <v>61</v>
      </c>
      <c r="B2713" t="str">
        <f>"61.0902"</f>
        <v>61.0902</v>
      </c>
      <c r="C2713" t="s">
        <v>2532</v>
      </c>
    </row>
    <row r="2714" spans="1:3" x14ac:dyDescent="0.25">
      <c r="A2714" t="str">
        <f t="shared" si="66"/>
        <v>61</v>
      </c>
      <c r="B2714" t="str">
        <f>"61.0903"</f>
        <v>61.0903</v>
      </c>
      <c r="C2714" t="s">
        <v>2533</v>
      </c>
    </row>
    <row r="2715" spans="1:3" x14ac:dyDescent="0.25">
      <c r="A2715" t="str">
        <f t="shared" si="66"/>
        <v>61</v>
      </c>
      <c r="B2715" t="str">
        <f>"61.0904"</f>
        <v>61.0904</v>
      </c>
      <c r="C2715" t="s">
        <v>2286</v>
      </c>
    </row>
    <row r="2716" spans="1:3" x14ac:dyDescent="0.25">
      <c r="A2716" t="str">
        <f t="shared" si="66"/>
        <v>61</v>
      </c>
      <c r="B2716" t="str">
        <f>"61.0999"</f>
        <v>61.0999</v>
      </c>
      <c r="C2716" t="s">
        <v>2534</v>
      </c>
    </row>
    <row r="2717" spans="1:3" x14ac:dyDescent="0.25">
      <c r="A2717" t="str">
        <f t="shared" si="66"/>
        <v>61</v>
      </c>
      <c r="B2717" t="str">
        <f>"61.10"</f>
        <v>61.10</v>
      </c>
      <c r="C2717" t="s">
        <v>2535</v>
      </c>
    </row>
    <row r="2718" spans="1:3" x14ac:dyDescent="0.25">
      <c r="A2718" t="str">
        <f t="shared" si="66"/>
        <v>61</v>
      </c>
      <c r="B2718" t="str">
        <f>"61.1001"</f>
        <v>61.1001</v>
      </c>
      <c r="C2718" t="s">
        <v>2235</v>
      </c>
    </row>
    <row r="2719" spans="1:3" x14ac:dyDescent="0.25">
      <c r="A2719" t="str">
        <f t="shared" si="66"/>
        <v>61</v>
      </c>
      <c r="B2719" t="str">
        <f>"61.1099"</f>
        <v>61.1099</v>
      </c>
      <c r="C2719" t="s">
        <v>2536</v>
      </c>
    </row>
    <row r="2720" spans="1:3" x14ac:dyDescent="0.25">
      <c r="A2720" t="str">
        <f t="shared" si="66"/>
        <v>61</v>
      </c>
      <c r="B2720" t="str">
        <f>"61.11"</f>
        <v>61.11</v>
      </c>
      <c r="C2720" t="s">
        <v>2537</v>
      </c>
    </row>
    <row r="2721" spans="1:3" x14ac:dyDescent="0.25">
      <c r="A2721" t="str">
        <f t="shared" si="66"/>
        <v>61</v>
      </c>
      <c r="B2721" t="str">
        <f>"61.1101"</f>
        <v>61.1101</v>
      </c>
      <c r="C2721" t="s">
        <v>2236</v>
      </c>
    </row>
    <row r="2722" spans="1:3" x14ac:dyDescent="0.25">
      <c r="A2722" t="str">
        <f t="shared" si="66"/>
        <v>61</v>
      </c>
      <c r="B2722" t="str">
        <f>"61.1102"</f>
        <v>61.1102</v>
      </c>
      <c r="C2722" t="s">
        <v>2223</v>
      </c>
    </row>
    <row r="2723" spans="1:3" x14ac:dyDescent="0.25">
      <c r="A2723" t="str">
        <f t="shared" si="66"/>
        <v>61</v>
      </c>
      <c r="B2723" t="str">
        <f>"61.1103"</f>
        <v>61.1103</v>
      </c>
      <c r="C2723" t="s">
        <v>2538</v>
      </c>
    </row>
    <row r="2724" spans="1:3" x14ac:dyDescent="0.25">
      <c r="A2724" t="str">
        <f t="shared" si="66"/>
        <v>61</v>
      </c>
      <c r="B2724" t="str">
        <f>"61.1104"</f>
        <v>61.1104</v>
      </c>
      <c r="C2724" t="s">
        <v>2539</v>
      </c>
    </row>
    <row r="2725" spans="1:3" x14ac:dyDescent="0.25">
      <c r="A2725" t="str">
        <f t="shared" si="66"/>
        <v>61</v>
      </c>
      <c r="B2725" t="str">
        <f>"61.1105"</f>
        <v>61.1105</v>
      </c>
      <c r="C2725" t="s">
        <v>2540</v>
      </c>
    </row>
    <row r="2726" spans="1:3" x14ac:dyDescent="0.25">
      <c r="A2726" t="str">
        <f t="shared" si="66"/>
        <v>61</v>
      </c>
      <c r="B2726" t="str">
        <f>"61.1106"</f>
        <v>61.1106</v>
      </c>
      <c r="C2726" t="s">
        <v>2541</v>
      </c>
    </row>
    <row r="2727" spans="1:3" x14ac:dyDescent="0.25">
      <c r="A2727" t="str">
        <f t="shared" si="66"/>
        <v>61</v>
      </c>
      <c r="B2727" t="str">
        <f>"61.1107"</f>
        <v>61.1107</v>
      </c>
      <c r="C2727" t="s">
        <v>2542</v>
      </c>
    </row>
    <row r="2728" spans="1:3" x14ac:dyDescent="0.25">
      <c r="A2728" t="str">
        <f t="shared" si="66"/>
        <v>61</v>
      </c>
      <c r="B2728" t="str">
        <f>"61.1199"</f>
        <v>61.1199</v>
      </c>
      <c r="C2728" t="s">
        <v>2543</v>
      </c>
    </row>
    <row r="2729" spans="1:3" x14ac:dyDescent="0.25">
      <c r="A2729" t="str">
        <f t="shared" si="66"/>
        <v>61</v>
      </c>
      <c r="B2729" t="str">
        <f>"61.12"</f>
        <v>61.12</v>
      </c>
      <c r="C2729" t="s">
        <v>2544</v>
      </c>
    </row>
    <row r="2730" spans="1:3" x14ac:dyDescent="0.25">
      <c r="A2730" t="str">
        <f t="shared" si="66"/>
        <v>61</v>
      </c>
      <c r="B2730" t="str">
        <f>"61.1201"</f>
        <v>61.1201</v>
      </c>
      <c r="C2730" t="s">
        <v>2237</v>
      </c>
    </row>
    <row r="2731" spans="1:3" x14ac:dyDescent="0.25">
      <c r="A2731" t="str">
        <f t="shared" si="66"/>
        <v>61</v>
      </c>
      <c r="B2731" t="str">
        <f>"61.1299"</f>
        <v>61.1299</v>
      </c>
      <c r="C2731" t="s">
        <v>2545</v>
      </c>
    </row>
    <row r="2732" spans="1:3" x14ac:dyDescent="0.25">
      <c r="A2732" t="str">
        <f t="shared" si="66"/>
        <v>61</v>
      </c>
      <c r="B2732" t="str">
        <f>"61.13"</f>
        <v>61.13</v>
      </c>
      <c r="C2732" t="s">
        <v>2546</v>
      </c>
    </row>
    <row r="2733" spans="1:3" x14ac:dyDescent="0.25">
      <c r="A2733" t="str">
        <f t="shared" si="66"/>
        <v>61</v>
      </c>
      <c r="B2733" t="str">
        <f>"61.1301"</f>
        <v>61.1301</v>
      </c>
      <c r="C2733" t="s">
        <v>2238</v>
      </c>
    </row>
    <row r="2734" spans="1:3" x14ac:dyDescent="0.25">
      <c r="A2734" t="str">
        <f t="shared" si="66"/>
        <v>61</v>
      </c>
      <c r="B2734" t="str">
        <f>"61.1302"</f>
        <v>61.1302</v>
      </c>
      <c r="C2734" t="s">
        <v>2547</v>
      </c>
    </row>
    <row r="2735" spans="1:3" x14ac:dyDescent="0.25">
      <c r="A2735" t="str">
        <f t="shared" si="66"/>
        <v>61</v>
      </c>
      <c r="B2735" t="str">
        <f>"61.1303"</f>
        <v>61.1303</v>
      </c>
      <c r="C2735" t="s">
        <v>2548</v>
      </c>
    </row>
    <row r="2736" spans="1:3" x14ac:dyDescent="0.25">
      <c r="A2736" t="str">
        <f t="shared" si="66"/>
        <v>61</v>
      </c>
      <c r="B2736" t="str">
        <f>"61.1304"</f>
        <v>61.1304</v>
      </c>
      <c r="C2736" t="s">
        <v>2549</v>
      </c>
    </row>
    <row r="2737" spans="1:3" x14ac:dyDescent="0.25">
      <c r="A2737" t="str">
        <f t="shared" si="66"/>
        <v>61</v>
      </c>
      <c r="B2737" t="str">
        <f>"61.1399"</f>
        <v>61.1399</v>
      </c>
      <c r="C2737" t="s">
        <v>2550</v>
      </c>
    </row>
    <row r="2738" spans="1:3" x14ac:dyDescent="0.25">
      <c r="A2738" t="str">
        <f t="shared" si="66"/>
        <v>61</v>
      </c>
      <c r="B2738" t="str">
        <f>"61.14"</f>
        <v>61.14</v>
      </c>
      <c r="C2738" t="s">
        <v>2551</v>
      </c>
    </row>
    <row r="2739" spans="1:3" x14ac:dyDescent="0.25">
      <c r="A2739" t="str">
        <f t="shared" si="66"/>
        <v>61</v>
      </c>
      <c r="B2739" t="str">
        <f>"61.1401"</f>
        <v>61.1401</v>
      </c>
      <c r="C2739" t="s">
        <v>2240</v>
      </c>
    </row>
    <row r="2740" spans="1:3" x14ac:dyDescent="0.25">
      <c r="A2740" t="str">
        <f t="shared" si="66"/>
        <v>61</v>
      </c>
      <c r="B2740" t="str">
        <f>"61.1499"</f>
        <v>61.1499</v>
      </c>
      <c r="C2740" t="s">
        <v>2552</v>
      </c>
    </row>
    <row r="2741" spans="1:3" x14ac:dyDescent="0.25">
      <c r="A2741" t="str">
        <f t="shared" si="66"/>
        <v>61</v>
      </c>
      <c r="B2741" t="str">
        <f>"61.15"</f>
        <v>61.15</v>
      </c>
      <c r="C2741" t="s">
        <v>2553</v>
      </c>
    </row>
    <row r="2742" spans="1:3" x14ac:dyDescent="0.25">
      <c r="A2742" t="str">
        <f t="shared" si="66"/>
        <v>61</v>
      </c>
      <c r="B2742" t="str">
        <f>"61.1501"</f>
        <v>61.1501</v>
      </c>
      <c r="C2742" t="s">
        <v>2241</v>
      </c>
    </row>
    <row r="2743" spans="1:3" x14ac:dyDescent="0.25">
      <c r="A2743" t="str">
        <f t="shared" si="66"/>
        <v>61</v>
      </c>
      <c r="B2743" t="str">
        <f>"61.1502"</f>
        <v>61.1502</v>
      </c>
      <c r="C2743" t="s">
        <v>2554</v>
      </c>
    </row>
    <row r="2744" spans="1:3" x14ac:dyDescent="0.25">
      <c r="A2744" t="str">
        <f t="shared" si="66"/>
        <v>61</v>
      </c>
      <c r="B2744" t="str">
        <f>"61.1503"</f>
        <v>61.1503</v>
      </c>
      <c r="C2744" t="s">
        <v>2555</v>
      </c>
    </row>
    <row r="2745" spans="1:3" x14ac:dyDescent="0.25">
      <c r="A2745" t="str">
        <f t="shared" si="66"/>
        <v>61</v>
      </c>
      <c r="B2745" t="str">
        <f>"61.1504"</f>
        <v>61.1504</v>
      </c>
      <c r="C2745" t="s">
        <v>2556</v>
      </c>
    </row>
    <row r="2746" spans="1:3" x14ac:dyDescent="0.25">
      <c r="A2746" t="str">
        <f t="shared" si="66"/>
        <v>61</v>
      </c>
      <c r="B2746" t="str">
        <f>"61.1505"</f>
        <v>61.1505</v>
      </c>
      <c r="C2746" t="s">
        <v>2557</v>
      </c>
    </row>
    <row r="2747" spans="1:3" x14ac:dyDescent="0.25">
      <c r="A2747" t="str">
        <f t="shared" si="66"/>
        <v>61</v>
      </c>
      <c r="B2747" t="str">
        <f>"61.1599"</f>
        <v>61.1599</v>
      </c>
      <c r="C2747" t="s">
        <v>2558</v>
      </c>
    </row>
    <row r="2748" spans="1:3" x14ac:dyDescent="0.25">
      <c r="A2748" t="str">
        <f t="shared" si="66"/>
        <v>61</v>
      </c>
      <c r="B2748" t="str">
        <f>"61.16"</f>
        <v>61.16</v>
      </c>
      <c r="C2748" t="s">
        <v>2559</v>
      </c>
    </row>
    <row r="2749" spans="1:3" x14ac:dyDescent="0.25">
      <c r="A2749" t="str">
        <f t="shared" si="66"/>
        <v>61</v>
      </c>
      <c r="B2749" t="str">
        <f>"61.1601"</f>
        <v>61.1601</v>
      </c>
      <c r="C2749" t="s">
        <v>2560</v>
      </c>
    </row>
    <row r="2750" spans="1:3" x14ac:dyDescent="0.25">
      <c r="A2750" t="str">
        <f t="shared" si="66"/>
        <v>61</v>
      </c>
      <c r="B2750" t="str">
        <f>"61.1699"</f>
        <v>61.1699</v>
      </c>
      <c r="C2750" t="s">
        <v>2561</v>
      </c>
    </row>
    <row r="2751" spans="1:3" x14ac:dyDescent="0.25">
      <c r="A2751" t="str">
        <f t="shared" si="66"/>
        <v>61</v>
      </c>
      <c r="B2751" t="str">
        <f>"61.17"</f>
        <v>61.17</v>
      </c>
      <c r="C2751" t="s">
        <v>2562</v>
      </c>
    </row>
    <row r="2752" spans="1:3" x14ac:dyDescent="0.25">
      <c r="A2752" t="str">
        <f t="shared" si="66"/>
        <v>61</v>
      </c>
      <c r="B2752" t="str">
        <f>"61.1701"</f>
        <v>61.1701</v>
      </c>
      <c r="C2752" t="s">
        <v>2242</v>
      </c>
    </row>
    <row r="2753" spans="1:3" x14ac:dyDescent="0.25">
      <c r="A2753" t="str">
        <f t="shared" si="66"/>
        <v>61</v>
      </c>
      <c r="B2753" t="str">
        <f>"61.1702"</f>
        <v>61.1702</v>
      </c>
      <c r="C2753" t="s">
        <v>2563</v>
      </c>
    </row>
    <row r="2754" spans="1:3" x14ac:dyDescent="0.25">
      <c r="A2754" t="str">
        <f t="shared" si="66"/>
        <v>61</v>
      </c>
      <c r="B2754" t="str">
        <f>"61.1703"</f>
        <v>61.1703</v>
      </c>
      <c r="C2754" t="s">
        <v>2564</v>
      </c>
    </row>
    <row r="2755" spans="1:3" x14ac:dyDescent="0.25">
      <c r="A2755" t="str">
        <f t="shared" si="66"/>
        <v>61</v>
      </c>
      <c r="B2755" t="str">
        <f>"61.1799"</f>
        <v>61.1799</v>
      </c>
      <c r="C2755" t="s">
        <v>2565</v>
      </c>
    </row>
    <row r="2756" spans="1:3" x14ac:dyDescent="0.25">
      <c r="A2756" t="str">
        <f t="shared" si="66"/>
        <v>61</v>
      </c>
      <c r="B2756" t="str">
        <f>"61.18"</f>
        <v>61.18</v>
      </c>
      <c r="C2756" t="s">
        <v>2566</v>
      </c>
    </row>
    <row r="2757" spans="1:3" x14ac:dyDescent="0.25">
      <c r="A2757" t="str">
        <f t="shared" si="66"/>
        <v>61</v>
      </c>
      <c r="B2757" t="str">
        <f>"61.1801"</f>
        <v>61.1801</v>
      </c>
      <c r="C2757" t="s">
        <v>2567</v>
      </c>
    </row>
    <row r="2758" spans="1:3" x14ac:dyDescent="0.25">
      <c r="A2758" t="str">
        <f t="shared" ref="A2758:A2821" si="67">"61"</f>
        <v>61</v>
      </c>
      <c r="B2758" t="str">
        <f>"61.1802"</f>
        <v>61.1802</v>
      </c>
      <c r="C2758" t="s">
        <v>2568</v>
      </c>
    </row>
    <row r="2759" spans="1:3" x14ac:dyDescent="0.25">
      <c r="A2759" t="str">
        <f t="shared" si="67"/>
        <v>61</v>
      </c>
      <c r="B2759" t="str">
        <f>"61.1803"</f>
        <v>61.1803</v>
      </c>
      <c r="C2759" t="s">
        <v>2569</v>
      </c>
    </row>
    <row r="2760" spans="1:3" x14ac:dyDescent="0.25">
      <c r="A2760" t="str">
        <f t="shared" si="67"/>
        <v>61</v>
      </c>
      <c r="B2760" t="str">
        <f>"61.1804"</f>
        <v>61.1804</v>
      </c>
      <c r="C2760" t="s">
        <v>2570</v>
      </c>
    </row>
    <row r="2761" spans="1:3" x14ac:dyDescent="0.25">
      <c r="A2761" t="str">
        <f t="shared" si="67"/>
        <v>61</v>
      </c>
      <c r="B2761" t="str">
        <f>"61.1805"</f>
        <v>61.1805</v>
      </c>
      <c r="C2761" t="s">
        <v>2571</v>
      </c>
    </row>
    <row r="2762" spans="1:3" x14ac:dyDescent="0.25">
      <c r="A2762" t="str">
        <f t="shared" si="67"/>
        <v>61</v>
      </c>
      <c r="B2762" t="str">
        <f>"61.1806"</f>
        <v>61.1806</v>
      </c>
      <c r="C2762" t="s">
        <v>2572</v>
      </c>
    </row>
    <row r="2763" spans="1:3" x14ac:dyDescent="0.25">
      <c r="A2763" t="str">
        <f t="shared" si="67"/>
        <v>61</v>
      </c>
      <c r="B2763" t="str">
        <f>"61.1807"</f>
        <v>61.1807</v>
      </c>
      <c r="C2763" t="s">
        <v>2573</v>
      </c>
    </row>
    <row r="2764" spans="1:3" x14ac:dyDescent="0.25">
      <c r="A2764" t="str">
        <f t="shared" si="67"/>
        <v>61</v>
      </c>
      <c r="B2764" t="str">
        <f>"61.1808"</f>
        <v>61.1808</v>
      </c>
      <c r="C2764" t="s">
        <v>2574</v>
      </c>
    </row>
    <row r="2765" spans="1:3" x14ac:dyDescent="0.25">
      <c r="A2765" t="str">
        <f t="shared" si="67"/>
        <v>61</v>
      </c>
      <c r="B2765" t="str">
        <f>"61.1809"</f>
        <v>61.1809</v>
      </c>
      <c r="C2765" t="s">
        <v>2575</v>
      </c>
    </row>
    <row r="2766" spans="1:3" x14ac:dyDescent="0.25">
      <c r="A2766" t="str">
        <f t="shared" si="67"/>
        <v>61</v>
      </c>
      <c r="B2766" t="str">
        <f>"61.1810"</f>
        <v>61.1810</v>
      </c>
      <c r="C2766" t="s">
        <v>2576</v>
      </c>
    </row>
    <row r="2767" spans="1:3" x14ac:dyDescent="0.25">
      <c r="A2767" t="str">
        <f t="shared" si="67"/>
        <v>61</v>
      </c>
      <c r="B2767" t="str">
        <f>"61.1811"</f>
        <v>61.1811</v>
      </c>
      <c r="C2767" t="s">
        <v>2577</v>
      </c>
    </row>
    <row r="2768" spans="1:3" x14ac:dyDescent="0.25">
      <c r="A2768" t="str">
        <f t="shared" si="67"/>
        <v>61</v>
      </c>
      <c r="B2768" t="str">
        <f>"61.1812"</f>
        <v>61.1812</v>
      </c>
      <c r="C2768" t="s">
        <v>2578</v>
      </c>
    </row>
    <row r="2769" spans="1:3" x14ac:dyDescent="0.25">
      <c r="A2769" t="str">
        <f t="shared" si="67"/>
        <v>61</v>
      </c>
      <c r="B2769" t="str">
        <f>"61.1813"</f>
        <v>61.1813</v>
      </c>
      <c r="C2769" t="s">
        <v>2579</v>
      </c>
    </row>
    <row r="2770" spans="1:3" x14ac:dyDescent="0.25">
      <c r="A2770" t="str">
        <f t="shared" si="67"/>
        <v>61</v>
      </c>
      <c r="B2770" t="str">
        <f>"61.1814"</f>
        <v>61.1814</v>
      </c>
      <c r="C2770" t="s">
        <v>2580</v>
      </c>
    </row>
    <row r="2771" spans="1:3" x14ac:dyDescent="0.25">
      <c r="A2771" t="str">
        <f t="shared" si="67"/>
        <v>61</v>
      </c>
      <c r="B2771" t="str">
        <f>"61.1815"</f>
        <v>61.1815</v>
      </c>
      <c r="C2771" t="s">
        <v>2581</v>
      </c>
    </row>
    <row r="2772" spans="1:3" x14ac:dyDescent="0.25">
      <c r="A2772" t="str">
        <f t="shared" si="67"/>
        <v>61</v>
      </c>
      <c r="B2772" t="str">
        <f>"61.1899"</f>
        <v>61.1899</v>
      </c>
      <c r="C2772" t="s">
        <v>2582</v>
      </c>
    </row>
    <row r="2773" spans="1:3" x14ac:dyDescent="0.25">
      <c r="A2773" t="str">
        <f t="shared" si="67"/>
        <v>61</v>
      </c>
      <c r="B2773" t="str">
        <f>"61.19"</f>
        <v>61.19</v>
      </c>
      <c r="C2773" t="s">
        <v>2583</v>
      </c>
    </row>
    <row r="2774" spans="1:3" x14ac:dyDescent="0.25">
      <c r="A2774" t="str">
        <f t="shared" si="67"/>
        <v>61</v>
      </c>
      <c r="B2774" t="str">
        <f>"61.1901"</f>
        <v>61.1901</v>
      </c>
      <c r="C2774" t="s">
        <v>2244</v>
      </c>
    </row>
    <row r="2775" spans="1:3" x14ac:dyDescent="0.25">
      <c r="A2775" t="str">
        <f t="shared" si="67"/>
        <v>61</v>
      </c>
      <c r="B2775" t="str">
        <f>"61.1902"</f>
        <v>61.1902</v>
      </c>
      <c r="C2775" t="s">
        <v>2584</v>
      </c>
    </row>
    <row r="2776" spans="1:3" x14ac:dyDescent="0.25">
      <c r="A2776" t="str">
        <f t="shared" si="67"/>
        <v>61</v>
      </c>
      <c r="B2776" t="str">
        <f>"61.1903"</f>
        <v>61.1903</v>
      </c>
      <c r="C2776" t="s">
        <v>2585</v>
      </c>
    </row>
    <row r="2777" spans="1:3" x14ac:dyDescent="0.25">
      <c r="A2777" t="str">
        <f t="shared" si="67"/>
        <v>61</v>
      </c>
      <c r="B2777" t="str">
        <f>"61.1904"</f>
        <v>61.1904</v>
      </c>
      <c r="C2777" t="s">
        <v>2586</v>
      </c>
    </row>
    <row r="2778" spans="1:3" x14ac:dyDescent="0.25">
      <c r="A2778" t="str">
        <f t="shared" si="67"/>
        <v>61</v>
      </c>
      <c r="B2778" t="str">
        <f>"61.1905"</f>
        <v>61.1905</v>
      </c>
      <c r="C2778" t="s">
        <v>2587</v>
      </c>
    </row>
    <row r="2779" spans="1:3" x14ac:dyDescent="0.25">
      <c r="A2779" t="str">
        <f t="shared" si="67"/>
        <v>61</v>
      </c>
      <c r="B2779" t="str">
        <f>"61.1906"</f>
        <v>61.1906</v>
      </c>
      <c r="C2779" t="s">
        <v>2588</v>
      </c>
    </row>
    <row r="2780" spans="1:3" x14ac:dyDescent="0.25">
      <c r="A2780" t="str">
        <f t="shared" si="67"/>
        <v>61</v>
      </c>
      <c r="B2780" t="str">
        <f>"61.1907"</f>
        <v>61.1907</v>
      </c>
      <c r="C2780" t="s">
        <v>2589</v>
      </c>
    </row>
    <row r="2781" spans="1:3" x14ac:dyDescent="0.25">
      <c r="A2781" t="str">
        <f t="shared" si="67"/>
        <v>61</v>
      </c>
      <c r="B2781" t="str">
        <f>"61.1908"</f>
        <v>61.1908</v>
      </c>
      <c r="C2781" t="s">
        <v>2590</v>
      </c>
    </row>
    <row r="2782" spans="1:3" x14ac:dyDescent="0.25">
      <c r="A2782" t="str">
        <f t="shared" si="67"/>
        <v>61</v>
      </c>
      <c r="B2782" t="str">
        <f>"61.1909"</f>
        <v>61.1909</v>
      </c>
      <c r="C2782" t="s">
        <v>2591</v>
      </c>
    </row>
    <row r="2783" spans="1:3" x14ac:dyDescent="0.25">
      <c r="A2783" t="str">
        <f t="shared" si="67"/>
        <v>61</v>
      </c>
      <c r="B2783" t="str">
        <f>"61.1910"</f>
        <v>61.1910</v>
      </c>
      <c r="C2783" t="s">
        <v>2592</v>
      </c>
    </row>
    <row r="2784" spans="1:3" x14ac:dyDescent="0.25">
      <c r="A2784" t="str">
        <f t="shared" si="67"/>
        <v>61</v>
      </c>
      <c r="B2784" t="str">
        <f>"61.1911"</f>
        <v>61.1911</v>
      </c>
      <c r="C2784" t="s">
        <v>2593</v>
      </c>
    </row>
    <row r="2785" spans="1:3" x14ac:dyDescent="0.25">
      <c r="A2785" t="str">
        <f t="shared" si="67"/>
        <v>61</v>
      </c>
      <c r="B2785" t="str">
        <f>"61.1912"</f>
        <v>61.1912</v>
      </c>
      <c r="C2785" t="s">
        <v>2594</v>
      </c>
    </row>
    <row r="2786" spans="1:3" x14ac:dyDescent="0.25">
      <c r="A2786" t="str">
        <f t="shared" si="67"/>
        <v>61</v>
      </c>
      <c r="B2786" t="str">
        <f>"61.1913"</f>
        <v>61.1913</v>
      </c>
      <c r="C2786" t="s">
        <v>2595</v>
      </c>
    </row>
    <row r="2787" spans="1:3" x14ac:dyDescent="0.25">
      <c r="A2787" t="str">
        <f t="shared" si="67"/>
        <v>61</v>
      </c>
      <c r="B2787" t="str">
        <f>"61.1914"</f>
        <v>61.1914</v>
      </c>
      <c r="C2787" t="s">
        <v>2596</v>
      </c>
    </row>
    <row r="2788" spans="1:3" x14ac:dyDescent="0.25">
      <c r="A2788" t="str">
        <f t="shared" si="67"/>
        <v>61</v>
      </c>
      <c r="B2788" t="str">
        <f>"61.1915"</f>
        <v>61.1915</v>
      </c>
      <c r="C2788" t="s">
        <v>2597</v>
      </c>
    </row>
    <row r="2789" spans="1:3" x14ac:dyDescent="0.25">
      <c r="A2789" t="str">
        <f t="shared" si="67"/>
        <v>61</v>
      </c>
      <c r="B2789" t="str">
        <f>"61.1917"</f>
        <v>61.1917</v>
      </c>
      <c r="C2789" t="s">
        <v>2598</v>
      </c>
    </row>
    <row r="2790" spans="1:3" x14ac:dyDescent="0.25">
      <c r="A2790" t="str">
        <f t="shared" si="67"/>
        <v>61</v>
      </c>
      <c r="B2790" t="str">
        <f>"61.1999"</f>
        <v>61.1999</v>
      </c>
      <c r="C2790" t="s">
        <v>2599</v>
      </c>
    </row>
    <row r="2791" spans="1:3" x14ac:dyDescent="0.25">
      <c r="A2791" t="str">
        <f t="shared" si="67"/>
        <v>61</v>
      </c>
      <c r="B2791" t="str">
        <f>"61.20"</f>
        <v>61.20</v>
      </c>
      <c r="C2791" t="s">
        <v>2600</v>
      </c>
    </row>
    <row r="2792" spans="1:3" x14ac:dyDescent="0.25">
      <c r="A2792" t="str">
        <f t="shared" si="67"/>
        <v>61</v>
      </c>
      <c r="B2792" t="str">
        <f>"61.2001"</f>
        <v>61.2001</v>
      </c>
      <c r="C2792" t="s">
        <v>2245</v>
      </c>
    </row>
    <row r="2793" spans="1:3" x14ac:dyDescent="0.25">
      <c r="A2793" t="str">
        <f t="shared" si="67"/>
        <v>61</v>
      </c>
      <c r="B2793" t="str">
        <f>"61.2002"</f>
        <v>61.2002</v>
      </c>
      <c r="C2793" t="s">
        <v>2601</v>
      </c>
    </row>
    <row r="2794" spans="1:3" x14ac:dyDescent="0.25">
      <c r="A2794" t="str">
        <f t="shared" si="67"/>
        <v>61</v>
      </c>
      <c r="B2794" t="str">
        <f>"61.2003"</f>
        <v>61.2003</v>
      </c>
      <c r="C2794" t="s">
        <v>2602</v>
      </c>
    </row>
    <row r="2795" spans="1:3" x14ac:dyDescent="0.25">
      <c r="A2795" t="str">
        <f t="shared" si="67"/>
        <v>61</v>
      </c>
      <c r="B2795" t="str">
        <f>"61.2099"</f>
        <v>61.2099</v>
      </c>
      <c r="C2795" t="s">
        <v>2603</v>
      </c>
    </row>
    <row r="2796" spans="1:3" x14ac:dyDescent="0.25">
      <c r="A2796" t="str">
        <f t="shared" si="67"/>
        <v>61</v>
      </c>
      <c r="B2796" t="str">
        <f>"61.21"</f>
        <v>61.21</v>
      </c>
      <c r="C2796" t="s">
        <v>2604</v>
      </c>
    </row>
    <row r="2797" spans="1:3" x14ac:dyDescent="0.25">
      <c r="A2797" t="str">
        <f t="shared" si="67"/>
        <v>61</v>
      </c>
      <c r="B2797" t="str">
        <f>"61.2101"</f>
        <v>61.2101</v>
      </c>
      <c r="C2797" t="s">
        <v>2246</v>
      </c>
    </row>
    <row r="2798" spans="1:3" x14ac:dyDescent="0.25">
      <c r="A2798" t="str">
        <f t="shared" si="67"/>
        <v>61</v>
      </c>
      <c r="B2798" t="str">
        <f>"61.2102"</f>
        <v>61.2102</v>
      </c>
      <c r="C2798" t="s">
        <v>2605</v>
      </c>
    </row>
    <row r="2799" spans="1:3" x14ac:dyDescent="0.25">
      <c r="A2799" t="str">
        <f t="shared" si="67"/>
        <v>61</v>
      </c>
      <c r="B2799" t="str">
        <f>"61.2103"</f>
        <v>61.2103</v>
      </c>
      <c r="C2799" t="s">
        <v>2606</v>
      </c>
    </row>
    <row r="2800" spans="1:3" x14ac:dyDescent="0.25">
      <c r="A2800" t="str">
        <f t="shared" si="67"/>
        <v>61</v>
      </c>
      <c r="B2800" t="str">
        <f>"61.2199"</f>
        <v>61.2199</v>
      </c>
      <c r="C2800" t="s">
        <v>2607</v>
      </c>
    </row>
    <row r="2801" spans="1:3" x14ac:dyDescent="0.25">
      <c r="A2801" t="str">
        <f t="shared" si="67"/>
        <v>61</v>
      </c>
      <c r="B2801" t="str">
        <f>"61.22"</f>
        <v>61.22</v>
      </c>
      <c r="C2801" t="s">
        <v>2608</v>
      </c>
    </row>
    <row r="2802" spans="1:3" x14ac:dyDescent="0.25">
      <c r="A2802" t="str">
        <f t="shared" si="67"/>
        <v>61</v>
      </c>
      <c r="B2802" t="str">
        <f>"61.2201"</f>
        <v>61.2201</v>
      </c>
      <c r="C2802" t="s">
        <v>2609</v>
      </c>
    </row>
    <row r="2803" spans="1:3" x14ac:dyDescent="0.25">
      <c r="A2803" t="str">
        <f t="shared" si="67"/>
        <v>61</v>
      </c>
      <c r="B2803" t="str">
        <f>"61.2299"</f>
        <v>61.2299</v>
      </c>
      <c r="C2803" t="s">
        <v>2610</v>
      </c>
    </row>
    <row r="2804" spans="1:3" x14ac:dyDescent="0.25">
      <c r="A2804" t="str">
        <f t="shared" si="67"/>
        <v>61</v>
      </c>
      <c r="B2804" t="str">
        <f>"61.23"</f>
        <v>61.23</v>
      </c>
      <c r="C2804" t="s">
        <v>2611</v>
      </c>
    </row>
    <row r="2805" spans="1:3" x14ac:dyDescent="0.25">
      <c r="A2805" t="str">
        <f t="shared" si="67"/>
        <v>61</v>
      </c>
      <c r="B2805" t="str">
        <f>"61.2301"</f>
        <v>61.2301</v>
      </c>
      <c r="C2805" t="s">
        <v>2248</v>
      </c>
    </row>
    <row r="2806" spans="1:3" x14ac:dyDescent="0.25">
      <c r="A2806" t="str">
        <f t="shared" si="67"/>
        <v>61</v>
      </c>
      <c r="B2806" t="str">
        <f>"61.2302"</f>
        <v>61.2302</v>
      </c>
      <c r="C2806" t="s">
        <v>2220</v>
      </c>
    </row>
    <row r="2807" spans="1:3" x14ac:dyDescent="0.25">
      <c r="A2807" t="str">
        <f t="shared" si="67"/>
        <v>61</v>
      </c>
      <c r="B2807" t="str">
        <f>"61.2303"</f>
        <v>61.2303</v>
      </c>
      <c r="C2807" t="s">
        <v>2239</v>
      </c>
    </row>
    <row r="2808" spans="1:3" x14ac:dyDescent="0.25">
      <c r="A2808" t="str">
        <f t="shared" si="67"/>
        <v>61</v>
      </c>
      <c r="B2808" t="str">
        <f>"61.2399"</f>
        <v>61.2399</v>
      </c>
      <c r="C2808" t="s">
        <v>2612</v>
      </c>
    </row>
    <row r="2809" spans="1:3" x14ac:dyDescent="0.25">
      <c r="A2809" t="str">
        <f t="shared" si="67"/>
        <v>61</v>
      </c>
      <c r="B2809" t="str">
        <f>"61.24"</f>
        <v>61.24</v>
      </c>
      <c r="C2809" t="s">
        <v>2613</v>
      </c>
    </row>
    <row r="2810" spans="1:3" x14ac:dyDescent="0.25">
      <c r="A2810" t="str">
        <f t="shared" si="67"/>
        <v>61</v>
      </c>
      <c r="B2810" t="str">
        <f>"61.2401"</f>
        <v>61.2401</v>
      </c>
      <c r="C2810" t="s">
        <v>2247</v>
      </c>
    </row>
    <row r="2811" spans="1:3" x14ac:dyDescent="0.25">
      <c r="A2811" t="str">
        <f t="shared" si="67"/>
        <v>61</v>
      </c>
      <c r="B2811" t="str">
        <f>"61.2402"</f>
        <v>61.2402</v>
      </c>
      <c r="C2811" t="s">
        <v>2614</v>
      </c>
    </row>
    <row r="2812" spans="1:3" x14ac:dyDescent="0.25">
      <c r="A2812" t="str">
        <f t="shared" si="67"/>
        <v>61</v>
      </c>
      <c r="B2812" t="str">
        <f>"61.2403"</f>
        <v>61.2403</v>
      </c>
      <c r="C2812" t="s">
        <v>2615</v>
      </c>
    </row>
    <row r="2813" spans="1:3" x14ac:dyDescent="0.25">
      <c r="A2813" t="str">
        <f t="shared" si="67"/>
        <v>61</v>
      </c>
      <c r="B2813" t="str">
        <f>"61.2404"</f>
        <v>61.2404</v>
      </c>
      <c r="C2813" t="s">
        <v>2616</v>
      </c>
    </row>
    <row r="2814" spans="1:3" x14ac:dyDescent="0.25">
      <c r="A2814" t="str">
        <f t="shared" si="67"/>
        <v>61</v>
      </c>
      <c r="B2814" t="str">
        <f>"61.2405"</f>
        <v>61.2405</v>
      </c>
      <c r="C2814" t="s">
        <v>2617</v>
      </c>
    </row>
    <row r="2815" spans="1:3" x14ac:dyDescent="0.25">
      <c r="A2815" t="str">
        <f t="shared" si="67"/>
        <v>61</v>
      </c>
      <c r="B2815" t="str">
        <f>"61.2406"</f>
        <v>61.2406</v>
      </c>
      <c r="C2815" t="s">
        <v>2618</v>
      </c>
    </row>
    <row r="2816" spans="1:3" x14ac:dyDescent="0.25">
      <c r="A2816" t="str">
        <f t="shared" si="67"/>
        <v>61</v>
      </c>
      <c r="B2816" t="str">
        <f>"61.2499"</f>
        <v>61.2499</v>
      </c>
      <c r="C2816" t="s">
        <v>2619</v>
      </c>
    </row>
    <row r="2817" spans="1:3" x14ac:dyDescent="0.25">
      <c r="A2817" t="str">
        <f t="shared" si="67"/>
        <v>61</v>
      </c>
      <c r="B2817" t="str">
        <f>"61.25"</f>
        <v>61.25</v>
      </c>
      <c r="C2817" t="s">
        <v>2620</v>
      </c>
    </row>
    <row r="2818" spans="1:3" x14ac:dyDescent="0.25">
      <c r="A2818" t="str">
        <f t="shared" si="67"/>
        <v>61</v>
      </c>
      <c r="B2818" t="str">
        <f>"61.2501"</f>
        <v>61.2501</v>
      </c>
      <c r="C2818" t="s">
        <v>2249</v>
      </c>
    </row>
    <row r="2819" spans="1:3" x14ac:dyDescent="0.25">
      <c r="A2819" t="str">
        <f t="shared" si="67"/>
        <v>61</v>
      </c>
      <c r="B2819" t="str">
        <f>"61.2599"</f>
        <v>61.2599</v>
      </c>
      <c r="C2819" t="s">
        <v>2621</v>
      </c>
    </row>
    <row r="2820" spans="1:3" x14ac:dyDescent="0.25">
      <c r="A2820" t="str">
        <f t="shared" si="67"/>
        <v>61</v>
      </c>
      <c r="B2820" t="str">
        <f>"61.26"</f>
        <v>61.26</v>
      </c>
      <c r="C2820" t="s">
        <v>2622</v>
      </c>
    </row>
    <row r="2821" spans="1:3" x14ac:dyDescent="0.25">
      <c r="A2821" t="str">
        <f t="shared" si="67"/>
        <v>61</v>
      </c>
      <c r="B2821" t="str">
        <f>"61.2601"</f>
        <v>61.2601</v>
      </c>
      <c r="C2821" t="s">
        <v>2230</v>
      </c>
    </row>
    <row r="2822" spans="1:3" x14ac:dyDescent="0.25">
      <c r="A2822" t="str">
        <f t="shared" ref="A2822:A2849" si="68">"61"</f>
        <v>61</v>
      </c>
      <c r="B2822" t="str">
        <f>"61.2602"</f>
        <v>61.2602</v>
      </c>
      <c r="C2822" t="s">
        <v>2623</v>
      </c>
    </row>
    <row r="2823" spans="1:3" x14ac:dyDescent="0.25">
      <c r="A2823" t="str">
        <f t="shared" si="68"/>
        <v>61</v>
      </c>
      <c r="B2823" t="str">
        <f>"61.2603"</f>
        <v>61.2603</v>
      </c>
      <c r="C2823" t="s">
        <v>2624</v>
      </c>
    </row>
    <row r="2824" spans="1:3" x14ac:dyDescent="0.25">
      <c r="A2824" t="str">
        <f t="shared" si="68"/>
        <v>61</v>
      </c>
      <c r="B2824" t="str">
        <f>"61.2604"</f>
        <v>61.2604</v>
      </c>
      <c r="C2824" t="s">
        <v>2270</v>
      </c>
    </row>
    <row r="2825" spans="1:3" x14ac:dyDescent="0.25">
      <c r="A2825" t="str">
        <f t="shared" si="68"/>
        <v>61</v>
      </c>
      <c r="B2825" t="str">
        <f>"61.2605"</f>
        <v>61.2605</v>
      </c>
      <c r="C2825" t="s">
        <v>2288</v>
      </c>
    </row>
    <row r="2826" spans="1:3" x14ac:dyDescent="0.25">
      <c r="A2826" t="str">
        <f t="shared" si="68"/>
        <v>61</v>
      </c>
      <c r="B2826" t="str">
        <f>"61.2606"</f>
        <v>61.2606</v>
      </c>
      <c r="C2826" t="s">
        <v>2625</v>
      </c>
    </row>
    <row r="2827" spans="1:3" x14ac:dyDescent="0.25">
      <c r="A2827" t="str">
        <f t="shared" si="68"/>
        <v>61</v>
      </c>
      <c r="B2827" t="str">
        <f>"61.2607"</f>
        <v>61.2607</v>
      </c>
      <c r="C2827" t="s">
        <v>2626</v>
      </c>
    </row>
    <row r="2828" spans="1:3" x14ac:dyDescent="0.25">
      <c r="A2828" t="str">
        <f t="shared" si="68"/>
        <v>61</v>
      </c>
      <c r="B2828" t="str">
        <f>"61.2608"</f>
        <v>61.2608</v>
      </c>
      <c r="C2828" t="s">
        <v>2627</v>
      </c>
    </row>
    <row r="2829" spans="1:3" x14ac:dyDescent="0.25">
      <c r="A2829" t="str">
        <f t="shared" si="68"/>
        <v>61</v>
      </c>
      <c r="B2829" t="str">
        <f>"61.2609"</f>
        <v>61.2609</v>
      </c>
      <c r="C2829" t="s">
        <v>2628</v>
      </c>
    </row>
    <row r="2830" spans="1:3" x14ac:dyDescent="0.25">
      <c r="A2830" t="str">
        <f t="shared" si="68"/>
        <v>61</v>
      </c>
      <c r="B2830" t="str">
        <f>"61.2610"</f>
        <v>61.2610</v>
      </c>
      <c r="C2830" t="s">
        <v>2250</v>
      </c>
    </row>
    <row r="2831" spans="1:3" x14ac:dyDescent="0.25">
      <c r="A2831" t="str">
        <f t="shared" si="68"/>
        <v>61</v>
      </c>
      <c r="B2831" t="str">
        <f>"61.2611"</f>
        <v>61.2611</v>
      </c>
      <c r="C2831" t="s">
        <v>2335</v>
      </c>
    </row>
    <row r="2832" spans="1:3" x14ac:dyDescent="0.25">
      <c r="A2832" t="str">
        <f t="shared" si="68"/>
        <v>61</v>
      </c>
      <c r="B2832" t="str">
        <f>"61.2612"</f>
        <v>61.2612</v>
      </c>
      <c r="C2832" t="s">
        <v>2629</v>
      </c>
    </row>
    <row r="2833" spans="1:3" x14ac:dyDescent="0.25">
      <c r="A2833" t="str">
        <f t="shared" si="68"/>
        <v>61</v>
      </c>
      <c r="B2833" t="str">
        <f>"61.2699"</f>
        <v>61.2699</v>
      </c>
      <c r="C2833" t="s">
        <v>2630</v>
      </c>
    </row>
    <row r="2834" spans="1:3" x14ac:dyDescent="0.25">
      <c r="A2834" t="str">
        <f t="shared" si="68"/>
        <v>61</v>
      </c>
      <c r="B2834" t="str">
        <f>"61.27"</f>
        <v>61.27</v>
      </c>
      <c r="C2834" t="s">
        <v>2631</v>
      </c>
    </row>
    <row r="2835" spans="1:3" x14ac:dyDescent="0.25">
      <c r="A2835" t="str">
        <f t="shared" si="68"/>
        <v>61</v>
      </c>
      <c r="B2835" t="str">
        <f>"61.2701"</f>
        <v>61.2701</v>
      </c>
      <c r="C2835" t="s">
        <v>2233</v>
      </c>
    </row>
    <row r="2836" spans="1:3" x14ac:dyDescent="0.25">
      <c r="A2836" t="str">
        <f t="shared" si="68"/>
        <v>61</v>
      </c>
      <c r="B2836" t="str">
        <f>"61.2702"</f>
        <v>61.2702</v>
      </c>
      <c r="C2836" t="s">
        <v>2228</v>
      </c>
    </row>
    <row r="2837" spans="1:3" x14ac:dyDescent="0.25">
      <c r="A2837" t="str">
        <f t="shared" si="68"/>
        <v>61</v>
      </c>
      <c r="B2837" t="str">
        <f>"61.2703"</f>
        <v>61.2703</v>
      </c>
      <c r="C2837" t="s">
        <v>2632</v>
      </c>
    </row>
    <row r="2838" spans="1:3" x14ac:dyDescent="0.25">
      <c r="A2838" t="str">
        <f t="shared" si="68"/>
        <v>61</v>
      </c>
      <c r="B2838" t="str">
        <f>"61.2704"</f>
        <v>61.2704</v>
      </c>
      <c r="C2838" t="s">
        <v>2633</v>
      </c>
    </row>
    <row r="2839" spans="1:3" x14ac:dyDescent="0.25">
      <c r="A2839" t="str">
        <f t="shared" si="68"/>
        <v>61</v>
      </c>
      <c r="B2839" t="str">
        <f>"61.2705"</f>
        <v>61.2705</v>
      </c>
      <c r="C2839" t="s">
        <v>2634</v>
      </c>
    </row>
    <row r="2840" spans="1:3" x14ac:dyDescent="0.25">
      <c r="A2840" t="str">
        <f t="shared" si="68"/>
        <v>61</v>
      </c>
      <c r="B2840" t="str">
        <f>"61.2706"</f>
        <v>61.2706</v>
      </c>
      <c r="C2840" t="s">
        <v>2635</v>
      </c>
    </row>
    <row r="2841" spans="1:3" x14ac:dyDescent="0.25">
      <c r="A2841" t="str">
        <f t="shared" si="68"/>
        <v>61</v>
      </c>
      <c r="B2841" t="str">
        <f>"61.2707"</f>
        <v>61.2707</v>
      </c>
      <c r="C2841" t="s">
        <v>2636</v>
      </c>
    </row>
    <row r="2842" spans="1:3" x14ac:dyDescent="0.25">
      <c r="A2842" t="str">
        <f t="shared" si="68"/>
        <v>61</v>
      </c>
      <c r="B2842" t="str">
        <f>"61.2708"</f>
        <v>61.2708</v>
      </c>
      <c r="C2842" t="s">
        <v>2637</v>
      </c>
    </row>
    <row r="2843" spans="1:3" x14ac:dyDescent="0.25">
      <c r="A2843" t="str">
        <f t="shared" si="68"/>
        <v>61</v>
      </c>
      <c r="B2843" t="str">
        <f>"61.2799"</f>
        <v>61.2799</v>
      </c>
      <c r="C2843" t="s">
        <v>2638</v>
      </c>
    </row>
    <row r="2844" spans="1:3" x14ac:dyDescent="0.25">
      <c r="A2844" t="str">
        <f t="shared" si="68"/>
        <v>61</v>
      </c>
      <c r="B2844" t="str">
        <f>"61.28"</f>
        <v>61.28</v>
      </c>
      <c r="C2844" t="s">
        <v>2639</v>
      </c>
    </row>
    <row r="2845" spans="1:3" x14ac:dyDescent="0.25">
      <c r="A2845" t="str">
        <f t="shared" si="68"/>
        <v>61</v>
      </c>
      <c r="B2845" t="str">
        <f>"61.2801"</f>
        <v>61.2801</v>
      </c>
      <c r="C2845" t="s">
        <v>2252</v>
      </c>
    </row>
    <row r="2846" spans="1:3" x14ac:dyDescent="0.25">
      <c r="A2846" t="str">
        <f t="shared" si="68"/>
        <v>61</v>
      </c>
      <c r="B2846" t="str">
        <f>"61.2802"</f>
        <v>61.2802</v>
      </c>
      <c r="C2846" t="s">
        <v>2640</v>
      </c>
    </row>
    <row r="2847" spans="1:3" x14ac:dyDescent="0.25">
      <c r="A2847" t="str">
        <f t="shared" si="68"/>
        <v>61</v>
      </c>
      <c r="B2847" t="str">
        <f>"61.2899"</f>
        <v>61.2899</v>
      </c>
      <c r="C2847" t="s">
        <v>2641</v>
      </c>
    </row>
    <row r="2848" spans="1:3" x14ac:dyDescent="0.25">
      <c r="A2848" t="str">
        <f t="shared" si="68"/>
        <v>61</v>
      </c>
      <c r="B2848" t="str">
        <f>"61.99"</f>
        <v>61.99</v>
      </c>
      <c r="C2848" t="s">
        <v>2642</v>
      </c>
    </row>
    <row r="2849" spans="1:3" x14ac:dyDescent="0.25">
      <c r="A2849" t="str">
        <f t="shared" si="68"/>
        <v>61</v>
      </c>
      <c r="B2849" t="str">
        <f>"61.9999"</f>
        <v>61.9999</v>
      </c>
      <c r="C2849" t="s">
        <v>2642</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44D5-B0A9-48E2-B931-4A7DE8E3ED8C}">
  <dimension ref="A1:A6273"/>
  <sheetViews>
    <sheetView workbookViewId="0">
      <selection sqref="A1:A1048576"/>
    </sheetView>
  </sheetViews>
  <sheetFormatPr defaultRowHeight="15.75" x14ac:dyDescent="0.25"/>
  <cols>
    <col min="1" max="1" width="74.5" bestFit="1" customWidth="1"/>
  </cols>
  <sheetData>
    <row r="1" spans="1:1" x14ac:dyDescent="0.25">
      <c r="A1" s="19" t="s">
        <v>2663</v>
      </c>
    </row>
    <row r="2" spans="1:1" x14ac:dyDescent="0.25">
      <c r="A2" s="19" t="s">
        <v>2664</v>
      </c>
    </row>
    <row r="3" spans="1:1" x14ac:dyDescent="0.25">
      <c r="A3" s="19" t="s">
        <v>2665</v>
      </c>
    </row>
    <row r="4" spans="1:1" x14ac:dyDescent="0.25">
      <c r="A4" s="19" t="s">
        <v>2666</v>
      </c>
    </row>
    <row r="5" spans="1:1" x14ac:dyDescent="0.25">
      <c r="A5" s="19" t="s">
        <v>2667</v>
      </c>
    </row>
    <row r="6" spans="1:1" x14ac:dyDescent="0.25">
      <c r="A6" s="19" t="s">
        <v>2668</v>
      </c>
    </row>
    <row r="7" spans="1:1" x14ac:dyDescent="0.25">
      <c r="A7" s="19" t="s">
        <v>2669</v>
      </c>
    </row>
    <row r="8" spans="1:1" x14ac:dyDescent="0.25">
      <c r="A8" s="19" t="s">
        <v>2670</v>
      </c>
    </row>
    <row r="9" spans="1:1" x14ac:dyDescent="0.25">
      <c r="A9" s="19" t="s">
        <v>2671</v>
      </c>
    </row>
    <row r="10" spans="1:1" x14ac:dyDescent="0.25">
      <c r="A10" s="19" t="s">
        <v>2672</v>
      </c>
    </row>
    <row r="11" spans="1:1" x14ac:dyDescent="0.25">
      <c r="A11" s="19" t="s">
        <v>2673</v>
      </c>
    </row>
    <row r="12" spans="1:1" x14ac:dyDescent="0.25">
      <c r="A12" s="19" t="s">
        <v>2674</v>
      </c>
    </row>
    <row r="13" spans="1:1" x14ac:dyDescent="0.25">
      <c r="A13" s="19" t="s">
        <v>2675</v>
      </c>
    </row>
    <row r="14" spans="1:1" x14ac:dyDescent="0.25">
      <c r="A14" s="19" t="s">
        <v>2676</v>
      </c>
    </row>
    <row r="15" spans="1:1" x14ac:dyDescent="0.25">
      <c r="A15" s="19" t="s">
        <v>2677</v>
      </c>
    </row>
    <row r="16" spans="1:1" x14ac:dyDescent="0.25">
      <c r="A16" s="19" t="s">
        <v>2678</v>
      </c>
    </row>
    <row r="17" spans="1:1" x14ac:dyDescent="0.25">
      <c r="A17" s="19" t="s">
        <v>2679</v>
      </c>
    </row>
    <row r="18" spans="1:1" x14ac:dyDescent="0.25">
      <c r="A18" s="19" t="s">
        <v>2680</v>
      </c>
    </row>
    <row r="19" spans="1:1" x14ac:dyDescent="0.25">
      <c r="A19" s="19" t="s">
        <v>2681</v>
      </c>
    </row>
    <row r="20" spans="1:1" x14ac:dyDescent="0.25">
      <c r="A20" s="19" t="s">
        <v>2682</v>
      </c>
    </row>
    <row r="21" spans="1:1" x14ac:dyDescent="0.25">
      <c r="A21" s="19" t="s">
        <v>2683</v>
      </c>
    </row>
    <row r="22" spans="1:1" x14ac:dyDescent="0.25">
      <c r="A22" s="19" t="s">
        <v>2684</v>
      </c>
    </row>
    <row r="23" spans="1:1" x14ac:dyDescent="0.25">
      <c r="A23" s="19" t="s">
        <v>2685</v>
      </c>
    </row>
    <row r="24" spans="1:1" x14ac:dyDescent="0.25">
      <c r="A24" s="19" t="s">
        <v>2685</v>
      </c>
    </row>
    <row r="25" spans="1:1" x14ac:dyDescent="0.25">
      <c r="A25" s="19" t="s">
        <v>2685</v>
      </c>
    </row>
    <row r="26" spans="1:1" x14ac:dyDescent="0.25">
      <c r="A26" s="19" t="s">
        <v>2686</v>
      </c>
    </row>
    <row r="27" spans="1:1" x14ac:dyDescent="0.25">
      <c r="A27" s="19" t="s">
        <v>2687</v>
      </c>
    </row>
    <row r="28" spans="1:1" x14ac:dyDescent="0.25">
      <c r="A28" s="19" t="s">
        <v>2688</v>
      </c>
    </row>
    <row r="29" spans="1:1" x14ac:dyDescent="0.25">
      <c r="A29" s="19" t="s">
        <v>2689</v>
      </c>
    </row>
    <row r="30" spans="1:1" x14ac:dyDescent="0.25">
      <c r="A30" s="19" t="s">
        <v>2690</v>
      </c>
    </row>
    <row r="31" spans="1:1" x14ac:dyDescent="0.25">
      <c r="A31" s="19" t="s">
        <v>2691</v>
      </c>
    </row>
    <row r="32" spans="1:1" x14ac:dyDescent="0.25">
      <c r="A32" s="19" t="s">
        <v>2692</v>
      </c>
    </row>
    <row r="33" spans="1:1" x14ac:dyDescent="0.25">
      <c r="A33" s="19" t="s">
        <v>2693</v>
      </c>
    </row>
    <row r="34" spans="1:1" x14ac:dyDescent="0.25">
      <c r="A34" s="19" t="s">
        <v>2694</v>
      </c>
    </row>
    <row r="35" spans="1:1" x14ac:dyDescent="0.25">
      <c r="A35" s="19" t="s">
        <v>2695</v>
      </c>
    </row>
    <row r="36" spans="1:1" x14ac:dyDescent="0.25">
      <c r="A36" s="19" t="s">
        <v>2696</v>
      </c>
    </row>
    <row r="37" spans="1:1" x14ac:dyDescent="0.25">
      <c r="A37" s="19" t="s">
        <v>2697</v>
      </c>
    </row>
    <row r="38" spans="1:1" x14ac:dyDescent="0.25">
      <c r="A38" s="19" t="s">
        <v>2698</v>
      </c>
    </row>
    <row r="39" spans="1:1" x14ac:dyDescent="0.25">
      <c r="A39" s="19" t="s">
        <v>2699</v>
      </c>
    </row>
    <row r="40" spans="1:1" x14ac:dyDescent="0.25">
      <c r="A40" s="19" t="s">
        <v>2700</v>
      </c>
    </row>
    <row r="41" spans="1:1" x14ac:dyDescent="0.25">
      <c r="A41" s="19" t="s">
        <v>2701</v>
      </c>
    </row>
    <row r="42" spans="1:1" x14ac:dyDescent="0.25">
      <c r="A42" s="19" t="s">
        <v>2702</v>
      </c>
    </row>
    <row r="43" spans="1:1" x14ac:dyDescent="0.25">
      <c r="A43" s="19" t="s">
        <v>2702</v>
      </c>
    </row>
    <row r="44" spans="1:1" x14ac:dyDescent="0.25">
      <c r="A44" s="19" t="s">
        <v>2703</v>
      </c>
    </row>
    <row r="45" spans="1:1" x14ac:dyDescent="0.25">
      <c r="A45" s="19" t="s">
        <v>2704</v>
      </c>
    </row>
    <row r="46" spans="1:1" x14ac:dyDescent="0.25">
      <c r="A46" s="19" t="s">
        <v>2705</v>
      </c>
    </row>
    <row r="47" spans="1:1" x14ac:dyDescent="0.25">
      <c r="A47" s="19" t="s">
        <v>2706</v>
      </c>
    </row>
    <row r="48" spans="1:1" x14ac:dyDescent="0.25">
      <c r="A48" s="19" t="s">
        <v>2707</v>
      </c>
    </row>
    <row r="49" spans="1:1" x14ac:dyDescent="0.25">
      <c r="A49" s="19" t="s">
        <v>2708</v>
      </c>
    </row>
    <row r="50" spans="1:1" x14ac:dyDescent="0.25">
      <c r="A50" s="19" t="s">
        <v>2709</v>
      </c>
    </row>
    <row r="51" spans="1:1" x14ac:dyDescent="0.25">
      <c r="A51" s="19" t="s">
        <v>2710</v>
      </c>
    </row>
    <row r="52" spans="1:1" x14ac:dyDescent="0.25">
      <c r="A52" s="19" t="s">
        <v>2711</v>
      </c>
    </row>
    <row r="53" spans="1:1" x14ac:dyDescent="0.25">
      <c r="A53" s="19" t="s">
        <v>2712</v>
      </c>
    </row>
    <row r="54" spans="1:1" x14ac:dyDescent="0.25">
      <c r="A54" s="19" t="s">
        <v>2713</v>
      </c>
    </row>
    <row r="55" spans="1:1" x14ac:dyDescent="0.25">
      <c r="A55" s="19" t="s">
        <v>2714</v>
      </c>
    </row>
    <row r="56" spans="1:1" x14ac:dyDescent="0.25">
      <c r="A56" s="19" t="s">
        <v>2715</v>
      </c>
    </row>
    <row r="57" spans="1:1" x14ac:dyDescent="0.25">
      <c r="A57" s="19" t="s">
        <v>2716</v>
      </c>
    </row>
    <row r="58" spans="1:1" x14ac:dyDescent="0.25">
      <c r="A58" s="19" t="s">
        <v>2717</v>
      </c>
    </row>
    <row r="59" spans="1:1" x14ac:dyDescent="0.25">
      <c r="A59" s="19" t="s">
        <v>2718</v>
      </c>
    </row>
    <row r="60" spans="1:1" x14ac:dyDescent="0.25">
      <c r="A60" s="19" t="s">
        <v>2719</v>
      </c>
    </row>
    <row r="61" spans="1:1" x14ac:dyDescent="0.25">
      <c r="A61" s="19" t="s">
        <v>2720</v>
      </c>
    </row>
    <row r="62" spans="1:1" x14ac:dyDescent="0.25">
      <c r="A62" s="19" t="s">
        <v>2721</v>
      </c>
    </row>
    <row r="63" spans="1:1" x14ac:dyDescent="0.25">
      <c r="A63" s="19" t="s">
        <v>2722</v>
      </c>
    </row>
    <row r="64" spans="1:1" x14ac:dyDescent="0.25">
      <c r="A64" s="19" t="s">
        <v>2723</v>
      </c>
    </row>
    <row r="65" spans="1:1" x14ac:dyDescent="0.25">
      <c r="A65" s="19" t="s">
        <v>2724</v>
      </c>
    </row>
    <row r="66" spans="1:1" x14ac:dyDescent="0.25">
      <c r="A66" s="19" t="s">
        <v>2725</v>
      </c>
    </row>
    <row r="67" spans="1:1" x14ac:dyDescent="0.25">
      <c r="A67" s="19" t="s">
        <v>2726</v>
      </c>
    </row>
    <row r="68" spans="1:1" x14ac:dyDescent="0.25">
      <c r="A68" s="19" t="s">
        <v>2727</v>
      </c>
    </row>
    <row r="69" spans="1:1" x14ac:dyDescent="0.25">
      <c r="A69" s="19" t="s">
        <v>2728</v>
      </c>
    </row>
    <row r="70" spans="1:1" x14ac:dyDescent="0.25">
      <c r="A70" s="19" t="s">
        <v>2729</v>
      </c>
    </row>
    <row r="71" spans="1:1" x14ac:dyDescent="0.25">
      <c r="A71" s="19" t="s">
        <v>2730</v>
      </c>
    </row>
    <row r="72" spans="1:1" x14ac:dyDescent="0.25">
      <c r="A72" s="19" t="s">
        <v>2731</v>
      </c>
    </row>
    <row r="73" spans="1:1" x14ac:dyDescent="0.25">
      <c r="A73" s="19" t="s">
        <v>2732</v>
      </c>
    </row>
    <row r="74" spans="1:1" x14ac:dyDescent="0.25">
      <c r="A74" s="19" t="s">
        <v>2733</v>
      </c>
    </row>
    <row r="75" spans="1:1" x14ac:dyDescent="0.25">
      <c r="A75" s="19" t="s">
        <v>2734</v>
      </c>
    </row>
    <row r="76" spans="1:1" x14ac:dyDescent="0.25">
      <c r="A76" s="19" t="s">
        <v>2735</v>
      </c>
    </row>
    <row r="77" spans="1:1" x14ac:dyDescent="0.25">
      <c r="A77" s="19" t="s">
        <v>2736</v>
      </c>
    </row>
    <row r="78" spans="1:1" x14ac:dyDescent="0.25">
      <c r="A78" s="19" t="s">
        <v>2737</v>
      </c>
    </row>
    <row r="79" spans="1:1" x14ac:dyDescent="0.25">
      <c r="A79" s="19" t="s">
        <v>2737</v>
      </c>
    </row>
    <row r="80" spans="1:1" x14ac:dyDescent="0.25">
      <c r="A80" s="19" t="s">
        <v>2738</v>
      </c>
    </row>
    <row r="81" spans="1:1" x14ac:dyDescent="0.25">
      <c r="A81" s="19" t="s">
        <v>2739</v>
      </c>
    </row>
    <row r="82" spans="1:1" x14ac:dyDescent="0.25">
      <c r="A82" s="19" t="s">
        <v>2740</v>
      </c>
    </row>
    <row r="83" spans="1:1" x14ac:dyDescent="0.25">
      <c r="A83" s="19" t="s">
        <v>2741</v>
      </c>
    </row>
    <row r="84" spans="1:1" x14ac:dyDescent="0.25">
      <c r="A84" s="19" t="s">
        <v>2742</v>
      </c>
    </row>
    <row r="85" spans="1:1" x14ac:dyDescent="0.25">
      <c r="A85" s="19" t="s">
        <v>2743</v>
      </c>
    </row>
    <row r="86" spans="1:1" x14ac:dyDescent="0.25">
      <c r="A86" s="19" t="s">
        <v>2744</v>
      </c>
    </row>
    <row r="87" spans="1:1" x14ac:dyDescent="0.25">
      <c r="A87" s="19" t="s">
        <v>2745</v>
      </c>
    </row>
    <row r="88" spans="1:1" x14ac:dyDescent="0.25">
      <c r="A88" s="19" t="s">
        <v>2746</v>
      </c>
    </row>
    <row r="89" spans="1:1" x14ac:dyDescent="0.25">
      <c r="A89" s="19" t="s">
        <v>2747</v>
      </c>
    </row>
    <row r="90" spans="1:1" x14ac:dyDescent="0.25">
      <c r="A90" s="19" t="s">
        <v>2748</v>
      </c>
    </row>
    <row r="91" spans="1:1" x14ac:dyDescent="0.25">
      <c r="A91" s="19" t="s">
        <v>2749</v>
      </c>
    </row>
    <row r="92" spans="1:1" x14ac:dyDescent="0.25">
      <c r="A92" s="19" t="s">
        <v>2750</v>
      </c>
    </row>
    <row r="93" spans="1:1" x14ac:dyDescent="0.25">
      <c r="A93" s="19" t="s">
        <v>2751</v>
      </c>
    </row>
    <row r="94" spans="1:1" x14ac:dyDescent="0.25">
      <c r="A94" s="19" t="s">
        <v>2752</v>
      </c>
    </row>
    <row r="95" spans="1:1" x14ac:dyDescent="0.25">
      <c r="A95" s="19" t="s">
        <v>2753</v>
      </c>
    </row>
    <row r="96" spans="1:1" x14ac:dyDescent="0.25">
      <c r="A96" s="19" t="s">
        <v>2754</v>
      </c>
    </row>
    <row r="97" spans="1:1" x14ac:dyDescent="0.25">
      <c r="A97" s="19" t="s">
        <v>2755</v>
      </c>
    </row>
    <row r="98" spans="1:1" x14ac:dyDescent="0.25">
      <c r="A98" s="19" t="s">
        <v>2756</v>
      </c>
    </row>
    <row r="99" spans="1:1" x14ac:dyDescent="0.25">
      <c r="A99" s="19" t="s">
        <v>2757</v>
      </c>
    </row>
    <row r="100" spans="1:1" x14ac:dyDescent="0.25">
      <c r="A100" s="19" t="s">
        <v>2758</v>
      </c>
    </row>
    <row r="101" spans="1:1" x14ac:dyDescent="0.25">
      <c r="A101" s="19" t="s">
        <v>2759</v>
      </c>
    </row>
    <row r="102" spans="1:1" x14ac:dyDescent="0.25">
      <c r="A102" s="19" t="s">
        <v>2760</v>
      </c>
    </row>
    <row r="103" spans="1:1" x14ac:dyDescent="0.25">
      <c r="A103" s="19" t="s">
        <v>2761</v>
      </c>
    </row>
    <row r="104" spans="1:1" x14ac:dyDescent="0.25">
      <c r="A104" s="19" t="s">
        <v>2762</v>
      </c>
    </row>
    <row r="105" spans="1:1" x14ac:dyDescent="0.25">
      <c r="A105" s="19" t="s">
        <v>2763</v>
      </c>
    </row>
    <row r="106" spans="1:1" x14ac:dyDescent="0.25">
      <c r="A106" s="19" t="s">
        <v>2764</v>
      </c>
    </row>
    <row r="107" spans="1:1" x14ac:dyDescent="0.25">
      <c r="A107" s="19" t="s">
        <v>2765</v>
      </c>
    </row>
    <row r="108" spans="1:1" x14ac:dyDescent="0.25">
      <c r="A108" s="19" t="s">
        <v>2766</v>
      </c>
    </row>
    <row r="109" spans="1:1" x14ac:dyDescent="0.25">
      <c r="A109" s="19" t="s">
        <v>2767</v>
      </c>
    </row>
    <row r="110" spans="1:1" x14ac:dyDescent="0.25">
      <c r="A110" s="19" t="s">
        <v>2768</v>
      </c>
    </row>
    <row r="111" spans="1:1" x14ac:dyDescent="0.25">
      <c r="A111" s="19" t="s">
        <v>2769</v>
      </c>
    </row>
    <row r="112" spans="1:1" x14ac:dyDescent="0.25">
      <c r="A112" s="19" t="s">
        <v>2770</v>
      </c>
    </row>
    <row r="113" spans="1:1" x14ac:dyDescent="0.25">
      <c r="A113" s="19" t="s">
        <v>2771</v>
      </c>
    </row>
    <row r="114" spans="1:1" x14ac:dyDescent="0.25">
      <c r="A114" s="19" t="s">
        <v>2772</v>
      </c>
    </row>
    <row r="115" spans="1:1" x14ac:dyDescent="0.25">
      <c r="A115" s="19" t="s">
        <v>2773</v>
      </c>
    </row>
    <row r="116" spans="1:1" x14ac:dyDescent="0.25">
      <c r="A116" s="19" t="s">
        <v>2774</v>
      </c>
    </row>
    <row r="117" spans="1:1" x14ac:dyDescent="0.25">
      <c r="A117" s="19" t="s">
        <v>2775</v>
      </c>
    </row>
    <row r="118" spans="1:1" x14ac:dyDescent="0.25">
      <c r="A118" s="19" t="s">
        <v>2776</v>
      </c>
    </row>
    <row r="119" spans="1:1" x14ac:dyDescent="0.25">
      <c r="A119" s="19" t="s">
        <v>2777</v>
      </c>
    </row>
    <row r="120" spans="1:1" x14ac:dyDescent="0.25">
      <c r="A120" s="19" t="s">
        <v>2778</v>
      </c>
    </row>
    <row r="121" spans="1:1" x14ac:dyDescent="0.25">
      <c r="A121" s="19" t="s">
        <v>2779</v>
      </c>
    </row>
    <row r="122" spans="1:1" x14ac:dyDescent="0.25">
      <c r="A122" s="19" t="s">
        <v>2780</v>
      </c>
    </row>
    <row r="123" spans="1:1" x14ac:dyDescent="0.25">
      <c r="A123" s="19" t="s">
        <v>2781</v>
      </c>
    </row>
    <row r="124" spans="1:1" x14ac:dyDescent="0.25">
      <c r="A124" s="19" t="s">
        <v>2782</v>
      </c>
    </row>
    <row r="125" spans="1:1" x14ac:dyDescent="0.25">
      <c r="A125" s="19" t="s">
        <v>2783</v>
      </c>
    </row>
    <row r="126" spans="1:1" x14ac:dyDescent="0.25">
      <c r="A126" s="19" t="s">
        <v>2784</v>
      </c>
    </row>
    <row r="127" spans="1:1" x14ac:dyDescent="0.25">
      <c r="A127" s="19" t="s">
        <v>2785</v>
      </c>
    </row>
    <row r="128" spans="1:1" x14ac:dyDescent="0.25">
      <c r="A128" s="19" t="s">
        <v>2785</v>
      </c>
    </row>
    <row r="129" spans="1:1" x14ac:dyDescent="0.25">
      <c r="A129" s="19" t="s">
        <v>2785</v>
      </c>
    </row>
    <row r="130" spans="1:1" x14ac:dyDescent="0.25">
      <c r="A130" s="19" t="s">
        <v>2786</v>
      </c>
    </row>
    <row r="131" spans="1:1" x14ac:dyDescent="0.25">
      <c r="A131" s="19" t="s">
        <v>2787</v>
      </c>
    </row>
    <row r="132" spans="1:1" x14ac:dyDescent="0.25">
      <c r="A132" s="19" t="s">
        <v>2788</v>
      </c>
    </row>
    <row r="133" spans="1:1" x14ac:dyDescent="0.25">
      <c r="A133" s="19" t="s">
        <v>2789</v>
      </c>
    </row>
    <row r="134" spans="1:1" x14ac:dyDescent="0.25">
      <c r="A134" s="19" t="s">
        <v>2790</v>
      </c>
    </row>
    <row r="135" spans="1:1" x14ac:dyDescent="0.25">
      <c r="A135" s="19" t="s">
        <v>2791</v>
      </c>
    </row>
    <row r="136" spans="1:1" x14ac:dyDescent="0.25">
      <c r="A136" s="19" t="s">
        <v>2792</v>
      </c>
    </row>
    <row r="137" spans="1:1" x14ac:dyDescent="0.25">
      <c r="A137" s="19" t="s">
        <v>2793</v>
      </c>
    </row>
    <row r="138" spans="1:1" x14ac:dyDescent="0.25">
      <c r="A138" s="19" t="s">
        <v>2794</v>
      </c>
    </row>
    <row r="139" spans="1:1" x14ac:dyDescent="0.25">
      <c r="A139" s="19" t="s">
        <v>2795</v>
      </c>
    </row>
    <row r="140" spans="1:1" x14ac:dyDescent="0.25">
      <c r="A140" s="19" t="s">
        <v>2796</v>
      </c>
    </row>
    <row r="141" spans="1:1" x14ac:dyDescent="0.25">
      <c r="A141" s="19" t="s">
        <v>2797</v>
      </c>
    </row>
    <row r="142" spans="1:1" x14ac:dyDescent="0.25">
      <c r="A142" s="19" t="s">
        <v>2798</v>
      </c>
    </row>
    <row r="143" spans="1:1" x14ac:dyDescent="0.25">
      <c r="A143" s="19" t="s">
        <v>2799</v>
      </c>
    </row>
    <row r="144" spans="1:1" x14ac:dyDescent="0.25">
      <c r="A144" s="19" t="s">
        <v>2800</v>
      </c>
    </row>
    <row r="145" spans="1:1" x14ac:dyDescent="0.25">
      <c r="A145" s="19" t="s">
        <v>2801</v>
      </c>
    </row>
    <row r="146" spans="1:1" x14ac:dyDescent="0.25">
      <c r="A146" s="19" t="s">
        <v>2802</v>
      </c>
    </row>
    <row r="147" spans="1:1" x14ac:dyDescent="0.25">
      <c r="A147" s="19" t="s">
        <v>2803</v>
      </c>
    </row>
    <row r="148" spans="1:1" x14ac:dyDescent="0.25">
      <c r="A148" s="19" t="s">
        <v>2804</v>
      </c>
    </row>
    <row r="149" spans="1:1" x14ac:dyDescent="0.25">
      <c r="A149" s="19" t="s">
        <v>2805</v>
      </c>
    </row>
    <row r="150" spans="1:1" x14ac:dyDescent="0.25">
      <c r="A150" s="19" t="s">
        <v>2806</v>
      </c>
    </row>
    <row r="151" spans="1:1" x14ac:dyDescent="0.25">
      <c r="A151" s="19" t="s">
        <v>2807</v>
      </c>
    </row>
    <row r="152" spans="1:1" x14ac:dyDescent="0.25">
      <c r="A152" s="19" t="s">
        <v>2808</v>
      </c>
    </row>
    <row r="153" spans="1:1" x14ac:dyDescent="0.25">
      <c r="A153" s="19" t="s">
        <v>2809</v>
      </c>
    </row>
    <row r="154" spans="1:1" x14ac:dyDescent="0.25">
      <c r="A154" s="19" t="s">
        <v>2810</v>
      </c>
    </row>
    <row r="155" spans="1:1" x14ac:dyDescent="0.25">
      <c r="A155" s="19" t="s">
        <v>2811</v>
      </c>
    </row>
    <row r="156" spans="1:1" x14ac:dyDescent="0.25">
      <c r="A156" s="19" t="s">
        <v>2812</v>
      </c>
    </row>
    <row r="157" spans="1:1" x14ac:dyDescent="0.25">
      <c r="A157" s="19" t="s">
        <v>2813</v>
      </c>
    </row>
    <row r="158" spans="1:1" x14ac:dyDescent="0.25">
      <c r="A158" s="19" t="s">
        <v>2814</v>
      </c>
    </row>
    <row r="159" spans="1:1" x14ac:dyDescent="0.25">
      <c r="A159" s="19" t="s">
        <v>2815</v>
      </c>
    </row>
    <row r="160" spans="1:1" x14ac:dyDescent="0.25">
      <c r="A160" s="19" t="s">
        <v>2816</v>
      </c>
    </row>
    <row r="161" spans="1:1" x14ac:dyDescent="0.25">
      <c r="A161" s="19" t="s">
        <v>2817</v>
      </c>
    </row>
    <row r="162" spans="1:1" x14ac:dyDescent="0.25">
      <c r="A162" s="19" t="s">
        <v>2818</v>
      </c>
    </row>
    <row r="163" spans="1:1" x14ac:dyDescent="0.25">
      <c r="A163" s="19" t="s">
        <v>2819</v>
      </c>
    </row>
    <row r="164" spans="1:1" x14ac:dyDescent="0.25">
      <c r="A164" s="19" t="s">
        <v>2820</v>
      </c>
    </row>
    <row r="165" spans="1:1" x14ac:dyDescent="0.25">
      <c r="A165" s="19" t="s">
        <v>2821</v>
      </c>
    </row>
    <row r="166" spans="1:1" x14ac:dyDescent="0.25">
      <c r="A166" s="19" t="s">
        <v>2822</v>
      </c>
    </row>
    <row r="167" spans="1:1" x14ac:dyDescent="0.25">
      <c r="A167" s="19" t="s">
        <v>2823</v>
      </c>
    </row>
    <row r="168" spans="1:1" x14ac:dyDescent="0.25">
      <c r="A168" s="19" t="s">
        <v>2824</v>
      </c>
    </row>
    <row r="169" spans="1:1" x14ac:dyDescent="0.25">
      <c r="A169" s="19" t="s">
        <v>2825</v>
      </c>
    </row>
    <row r="170" spans="1:1" x14ac:dyDescent="0.25">
      <c r="A170" s="19" t="s">
        <v>2826</v>
      </c>
    </row>
    <row r="171" spans="1:1" x14ac:dyDescent="0.25">
      <c r="A171" s="19" t="s">
        <v>2827</v>
      </c>
    </row>
    <row r="172" spans="1:1" x14ac:dyDescent="0.25">
      <c r="A172" s="19" t="s">
        <v>2828</v>
      </c>
    </row>
    <row r="173" spans="1:1" x14ac:dyDescent="0.25">
      <c r="A173" s="19" t="s">
        <v>2829</v>
      </c>
    </row>
    <row r="174" spans="1:1" x14ac:dyDescent="0.25">
      <c r="A174" s="19" t="s">
        <v>2830</v>
      </c>
    </row>
    <row r="175" spans="1:1" x14ac:dyDescent="0.25">
      <c r="A175" s="19" t="s">
        <v>2831</v>
      </c>
    </row>
    <row r="176" spans="1:1" x14ac:dyDescent="0.25">
      <c r="A176" s="19" t="s">
        <v>2832</v>
      </c>
    </row>
    <row r="177" spans="1:1" x14ac:dyDescent="0.25">
      <c r="A177" s="19" t="s">
        <v>2833</v>
      </c>
    </row>
    <row r="178" spans="1:1" x14ac:dyDescent="0.25">
      <c r="A178" s="19" t="s">
        <v>2834</v>
      </c>
    </row>
    <row r="179" spans="1:1" x14ac:dyDescent="0.25">
      <c r="A179" s="19" t="s">
        <v>2835</v>
      </c>
    </row>
    <row r="180" spans="1:1" x14ac:dyDescent="0.25">
      <c r="A180" s="19" t="s">
        <v>2836</v>
      </c>
    </row>
    <row r="181" spans="1:1" x14ac:dyDescent="0.25">
      <c r="A181" s="19" t="s">
        <v>2837</v>
      </c>
    </row>
    <row r="182" spans="1:1" x14ac:dyDescent="0.25">
      <c r="A182" s="19" t="s">
        <v>2838</v>
      </c>
    </row>
    <row r="183" spans="1:1" x14ac:dyDescent="0.25">
      <c r="A183" s="19" t="s">
        <v>2839</v>
      </c>
    </row>
    <row r="184" spans="1:1" x14ac:dyDescent="0.25">
      <c r="A184" s="19" t="s">
        <v>2840</v>
      </c>
    </row>
    <row r="185" spans="1:1" x14ac:dyDescent="0.25">
      <c r="A185" s="19" t="s">
        <v>2841</v>
      </c>
    </row>
    <row r="186" spans="1:1" x14ac:dyDescent="0.25">
      <c r="A186" s="19" t="s">
        <v>2842</v>
      </c>
    </row>
    <row r="187" spans="1:1" x14ac:dyDescent="0.25">
      <c r="A187" s="19" t="s">
        <v>2843</v>
      </c>
    </row>
    <row r="188" spans="1:1" x14ac:dyDescent="0.25">
      <c r="A188" s="19" t="s">
        <v>2844</v>
      </c>
    </row>
    <row r="189" spans="1:1" x14ac:dyDescent="0.25">
      <c r="A189" s="19" t="s">
        <v>2845</v>
      </c>
    </row>
    <row r="190" spans="1:1" x14ac:dyDescent="0.25">
      <c r="A190" s="19" t="s">
        <v>2846</v>
      </c>
    </row>
    <row r="191" spans="1:1" x14ac:dyDescent="0.25">
      <c r="A191" s="19" t="s">
        <v>2846</v>
      </c>
    </row>
    <row r="192" spans="1:1" x14ac:dyDescent="0.25">
      <c r="A192" s="19" t="s">
        <v>2847</v>
      </c>
    </row>
    <row r="193" spans="1:1" x14ac:dyDescent="0.25">
      <c r="A193" s="19" t="s">
        <v>2848</v>
      </c>
    </row>
    <row r="194" spans="1:1" x14ac:dyDescent="0.25">
      <c r="A194" s="19" t="s">
        <v>2849</v>
      </c>
    </row>
    <row r="195" spans="1:1" x14ac:dyDescent="0.25">
      <c r="A195" s="19" t="s">
        <v>2850</v>
      </c>
    </row>
    <row r="196" spans="1:1" x14ac:dyDescent="0.25">
      <c r="A196" s="19" t="s">
        <v>2851</v>
      </c>
    </row>
    <row r="197" spans="1:1" x14ac:dyDescent="0.25">
      <c r="A197" s="19" t="s">
        <v>2852</v>
      </c>
    </row>
    <row r="198" spans="1:1" x14ac:dyDescent="0.25">
      <c r="A198" s="19" t="s">
        <v>2853</v>
      </c>
    </row>
    <row r="199" spans="1:1" x14ac:dyDescent="0.25">
      <c r="A199" s="19" t="s">
        <v>2854</v>
      </c>
    </row>
    <row r="200" spans="1:1" x14ac:dyDescent="0.25">
      <c r="A200" s="19" t="s">
        <v>2855</v>
      </c>
    </row>
    <row r="201" spans="1:1" x14ac:dyDescent="0.25">
      <c r="A201" s="19" t="s">
        <v>2855</v>
      </c>
    </row>
    <row r="202" spans="1:1" x14ac:dyDescent="0.25">
      <c r="A202" s="19" t="s">
        <v>2856</v>
      </c>
    </row>
    <row r="203" spans="1:1" x14ac:dyDescent="0.25">
      <c r="A203" s="19" t="s">
        <v>2857</v>
      </c>
    </row>
    <row r="204" spans="1:1" x14ac:dyDescent="0.25">
      <c r="A204" s="19" t="s">
        <v>2858</v>
      </c>
    </row>
    <row r="205" spans="1:1" x14ac:dyDescent="0.25">
      <c r="A205" s="19" t="s">
        <v>2859</v>
      </c>
    </row>
    <row r="206" spans="1:1" x14ac:dyDescent="0.25">
      <c r="A206" s="19" t="s">
        <v>2860</v>
      </c>
    </row>
    <row r="207" spans="1:1" x14ac:dyDescent="0.25">
      <c r="A207" s="19" t="s">
        <v>2861</v>
      </c>
    </row>
    <row r="208" spans="1:1" x14ac:dyDescent="0.25">
      <c r="A208" s="19" t="s">
        <v>2862</v>
      </c>
    </row>
    <row r="209" spans="1:1" x14ac:dyDescent="0.25">
      <c r="A209" s="19" t="s">
        <v>2863</v>
      </c>
    </row>
    <row r="210" spans="1:1" x14ac:dyDescent="0.25">
      <c r="A210" s="19" t="s">
        <v>2864</v>
      </c>
    </row>
    <row r="211" spans="1:1" x14ac:dyDescent="0.25">
      <c r="A211" s="19" t="s">
        <v>2865</v>
      </c>
    </row>
    <row r="212" spans="1:1" x14ac:dyDescent="0.25">
      <c r="A212" s="19" t="s">
        <v>2866</v>
      </c>
    </row>
    <row r="213" spans="1:1" x14ac:dyDescent="0.25">
      <c r="A213" s="19" t="s">
        <v>2867</v>
      </c>
    </row>
    <row r="214" spans="1:1" x14ac:dyDescent="0.25">
      <c r="A214" s="19" t="s">
        <v>2868</v>
      </c>
    </row>
    <row r="215" spans="1:1" x14ac:dyDescent="0.25">
      <c r="A215" s="19" t="s">
        <v>2869</v>
      </c>
    </row>
    <row r="216" spans="1:1" x14ac:dyDescent="0.25">
      <c r="A216" s="19" t="s">
        <v>2870</v>
      </c>
    </row>
    <row r="217" spans="1:1" x14ac:dyDescent="0.25">
      <c r="A217" s="19" t="s">
        <v>2871</v>
      </c>
    </row>
    <row r="218" spans="1:1" x14ac:dyDescent="0.25">
      <c r="A218" s="19" t="s">
        <v>2872</v>
      </c>
    </row>
    <row r="219" spans="1:1" x14ac:dyDescent="0.25">
      <c r="A219" s="19" t="s">
        <v>2873</v>
      </c>
    </row>
    <row r="220" spans="1:1" x14ac:dyDescent="0.25">
      <c r="A220" s="19" t="s">
        <v>2874</v>
      </c>
    </row>
    <row r="221" spans="1:1" x14ac:dyDescent="0.25">
      <c r="A221" s="19" t="s">
        <v>2875</v>
      </c>
    </row>
    <row r="222" spans="1:1" x14ac:dyDescent="0.25">
      <c r="A222" s="19" t="s">
        <v>2876</v>
      </c>
    </row>
    <row r="223" spans="1:1" x14ac:dyDescent="0.25">
      <c r="A223" s="19" t="s">
        <v>2877</v>
      </c>
    </row>
    <row r="224" spans="1:1" x14ac:dyDescent="0.25">
      <c r="A224" s="19" t="s">
        <v>2878</v>
      </c>
    </row>
    <row r="225" spans="1:1" x14ac:dyDescent="0.25">
      <c r="A225" s="19" t="s">
        <v>2879</v>
      </c>
    </row>
    <row r="226" spans="1:1" x14ac:dyDescent="0.25">
      <c r="A226" s="19" t="s">
        <v>2880</v>
      </c>
    </row>
    <row r="227" spans="1:1" x14ac:dyDescent="0.25">
      <c r="A227" s="19" t="s">
        <v>2881</v>
      </c>
    </row>
    <row r="228" spans="1:1" x14ac:dyDescent="0.25">
      <c r="A228" s="19" t="s">
        <v>2882</v>
      </c>
    </row>
    <row r="229" spans="1:1" x14ac:dyDescent="0.25">
      <c r="A229" s="19" t="s">
        <v>2883</v>
      </c>
    </row>
    <row r="230" spans="1:1" x14ac:dyDescent="0.25">
      <c r="A230" s="19" t="s">
        <v>2884</v>
      </c>
    </row>
    <row r="231" spans="1:1" x14ac:dyDescent="0.25">
      <c r="A231" s="19" t="s">
        <v>2885</v>
      </c>
    </row>
    <row r="232" spans="1:1" x14ac:dyDescent="0.25">
      <c r="A232" s="19" t="s">
        <v>2886</v>
      </c>
    </row>
    <row r="233" spans="1:1" x14ac:dyDescent="0.25">
      <c r="A233" s="19" t="s">
        <v>2887</v>
      </c>
    </row>
    <row r="234" spans="1:1" x14ac:dyDescent="0.25">
      <c r="A234" s="19" t="s">
        <v>2887</v>
      </c>
    </row>
    <row r="235" spans="1:1" x14ac:dyDescent="0.25">
      <c r="A235" s="19" t="s">
        <v>2888</v>
      </c>
    </row>
    <row r="236" spans="1:1" x14ac:dyDescent="0.25">
      <c r="A236" s="19" t="s">
        <v>2889</v>
      </c>
    </row>
    <row r="237" spans="1:1" x14ac:dyDescent="0.25">
      <c r="A237" s="19" t="s">
        <v>2890</v>
      </c>
    </row>
    <row r="238" spans="1:1" x14ac:dyDescent="0.25">
      <c r="A238" s="19" t="s">
        <v>2891</v>
      </c>
    </row>
    <row r="239" spans="1:1" x14ac:dyDescent="0.25">
      <c r="A239" s="19" t="s">
        <v>2892</v>
      </c>
    </row>
    <row r="240" spans="1:1" x14ac:dyDescent="0.25">
      <c r="A240" s="19" t="s">
        <v>2893</v>
      </c>
    </row>
    <row r="241" spans="1:1" x14ac:dyDescent="0.25">
      <c r="A241" s="19" t="s">
        <v>2894</v>
      </c>
    </row>
    <row r="242" spans="1:1" x14ac:dyDescent="0.25">
      <c r="A242" s="19" t="s">
        <v>2895</v>
      </c>
    </row>
    <row r="243" spans="1:1" x14ac:dyDescent="0.25">
      <c r="A243" s="19" t="s">
        <v>2896</v>
      </c>
    </row>
    <row r="244" spans="1:1" x14ac:dyDescent="0.25">
      <c r="A244" s="19" t="s">
        <v>2896</v>
      </c>
    </row>
    <row r="245" spans="1:1" x14ac:dyDescent="0.25">
      <c r="A245" s="19" t="s">
        <v>2897</v>
      </c>
    </row>
    <row r="246" spans="1:1" x14ac:dyDescent="0.25">
      <c r="A246" s="19" t="s">
        <v>2898</v>
      </c>
    </row>
    <row r="247" spans="1:1" x14ac:dyDescent="0.25">
      <c r="A247" s="19" t="s">
        <v>2899</v>
      </c>
    </row>
    <row r="248" spans="1:1" x14ac:dyDescent="0.25">
      <c r="A248" s="19" t="s">
        <v>2900</v>
      </c>
    </row>
    <row r="249" spans="1:1" x14ac:dyDescent="0.25">
      <c r="A249" s="19" t="s">
        <v>2901</v>
      </c>
    </row>
    <row r="250" spans="1:1" x14ac:dyDescent="0.25">
      <c r="A250" s="19" t="s">
        <v>2902</v>
      </c>
    </row>
    <row r="251" spans="1:1" x14ac:dyDescent="0.25">
      <c r="A251" s="19" t="s">
        <v>2903</v>
      </c>
    </row>
    <row r="252" spans="1:1" x14ac:dyDescent="0.25">
      <c r="A252" s="19" t="s">
        <v>2904</v>
      </c>
    </row>
    <row r="253" spans="1:1" x14ac:dyDescent="0.25">
      <c r="A253" s="19" t="s">
        <v>2905</v>
      </c>
    </row>
    <row r="254" spans="1:1" x14ac:dyDescent="0.25">
      <c r="A254" s="19" t="s">
        <v>2906</v>
      </c>
    </row>
    <row r="255" spans="1:1" x14ac:dyDescent="0.25">
      <c r="A255" s="19" t="s">
        <v>2907</v>
      </c>
    </row>
    <row r="256" spans="1:1" x14ac:dyDescent="0.25">
      <c r="A256" s="19" t="s">
        <v>2908</v>
      </c>
    </row>
    <row r="257" spans="1:1" x14ac:dyDescent="0.25">
      <c r="A257" s="19" t="s">
        <v>2909</v>
      </c>
    </row>
    <row r="258" spans="1:1" x14ac:dyDescent="0.25">
      <c r="A258" s="19" t="s">
        <v>2910</v>
      </c>
    </row>
    <row r="259" spans="1:1" x14ac:dyDescent="0.25">
      <c r="A259" s="19" t="s">
        <v>2911</v>
      </c>
    </row>
    <row r="260" spans="1:1" x14ac:dyDescent="0.25">
      <c r="A260" s="19" t="s">
        <v>2912</v>
      </c>
    </row>
    <row r="261" spans="1:1" x14ac:dyDescent="0.25">
      <c r="A261" s="19" t="s">
        <v>2913</v>
      </c>
    </row>
    <row r="262" spans="1:1" x14ac:dyDescent="0.25">
      <c r="A262" s="19" t="s">
        <v>2914</v>
      </c>
    </row>
    <row r="263" spans="1:1" x14ac:dyDescent="0.25">
      <c r="A263" s="19" t="s">
        <v>2915</v>
      </c>
    </row>
    <row r="264" spans="1:1" x14ac:dyDescent="0.25">
      <c r="A264" s="19" t="s">
        <v>2916</v>
      </c>
    </row>
    <row r="265" spans="1:1" x14ac:dyDescent="0.25">
      <c r="A265" s="19" t="s">
        <v>2917</v>
      </c>
    </row>
    <row r="266" spans="1:1" x14ac:dyDescent="0.25">
      <c r="A266" s="19" t="s">
        <v>2918</v>
      </c>
    </row>
    <row r="267" spans="1:1" x14ac:dyDescent="0.25">
      <c r="A267" s="19" t="s">
        <v>2919</v>
      </c>
    </row>
    <row r="268" spans="1:1" x14ac:dyDescent="0.25">
      <c r="A268" s="19" t="s">
        <v>2920</v>
      </c>
    </row>
    <row r="269" spans="1:1" x14ac:dyDescent="0.25">
      <c r="A269" s="19" t="s">
        <v>2921</v>
      </c>
    </row>
    <row r="270" spans="1:1" x14ac:dyDescent="0.25">
      <c r="A270" s="19" t="s">
        <v>2922</v>
      </c>
    </row>
    <row r="271" spans="1:1" x14ac:dyDescent="0.25">
      <c r="A271" s="19" t="s">
        <v>2923</v>
      </c>
    </row>
    <row r="272" spans="1:1" x14ac:dyDescent="0.25">
      <c r="A272" s="19" t="s">
        <v>2924</v>
      </c>
    </row>
    <row r="273" spans="1:1" x14ac:dyDescent="0.25">
      <c r="A273" s="19" t="s">
        <v>2925</v>
      </c>
    </row>
    <row r="274" spans="1:1" x14ac:dyDescent="0.25">
      <c r="A274" s="19" t="s">
        <v>2926</v>
      </c>
    </row>
    <row r="275" spans="1:1" x14ac:dyDescent="0.25">
      <c r="A275" s="19" t="s">
        <v>2927</v>
      </c>
    </row>
    <row r="276" spans="1:1" x14ac:dyDescent="0.25">
      <c r="A276" s="19" t="s">
        <v>2928</v>
      </c>
    </row>
    <row r="277" spans="1:1" x14ac:dyDescent="0.25">
      <c r="A277" s="19" t="s">
        <v>2929</v>
      </c>
    </row>
    <row r="278" spans="1:1" x14ac:dyDescent="0.25">
      <c r="A278" s="19" t="s">
        <v>2930</v>
      </c>
    </row>
    <row r="279" spans="1:1" x14ac:dyDescent="0.25">
      <c r="A279" s="19" t="s">
        <v>2931</v>
      </c>
    </row>
    <row r="280" spans="1:1" x14ac:dyDescent="0.25">
      <c r="A280" s="19" t="s">
        <v>2932</v>
      </c>
    </row>
    <row r="281" spans="1:1" x14ac:dyDescent="0.25">
      <c r="A281" s="19" t="s">
        <v>2933</v>
      </c>
    </row>
    <row r="282" spans="1:1" x14ac:dyDescent="0.25">
      <c r="A282" s="19" t="s">
        <v>2934</v>
      </c>
    </row>
    <row r="283" spans="1:1" x14ac:dyDescent="0.25">
      <c r="A283" s="19" t="s">
        <v>2935</v>
      </c>
    </row>
    <row r="284" spans="1:1" x14ac:dyDescent="0.25">
      <c r="A284" s="19" t="s">
        <v>2936</v>
      </c>
    </row>
    <row r="285" spans="1:1" x14ac:dyDescent="0.25">
      <c r="A285" s="19" t="s">
        <v>2937</v>
      </c>
    </row>
    <row r="286" spans="1:1" x14ac:dyDescent="0.25">
      <c r="A286" s="19" t="s">
        <v>2938</v>
      </c>
    </row>
    <row r="287" spans="1:1" x14ac:dyDescent="0.25">
      <c r="A287" s="19" t="s">
        <v>2939</v>
      </c>
    </row>
    <row r="288" spans="1:1" x14ac:dyDescent="0.25">
      <c r="A288" s="19" t="s">
        <v>2940</v>
      </c>
    </row>
    <row r="289" spans="1:1" x14ac:dyDescent="0.25">
      <c r="A289" s="19" t="s">
        <v>2941</v>
      </c>
    </row>
    <row r="290" spans="1:1" x14ac:dyDescent="0.25">
      <c r="A290" s="19" t="s">
        <v>2942</v>
      </c>
    </row>
    <row r="291" spans="1:1" x14ac:dyDescent="0.25">
      <c r="A291" s="19" t="s">
        <v>2943</v>
      </c>
    </row>
    <row r="292" spans="1:1" x14ac:dyDescent="0.25">
      <c r="A292" s="19" t="s">
        <v>2944</v>
      </c>
    </row>
    <row r="293" spans="1:1" x14ac:dyDescent="0.25">
      <c r="A293" s="19" t="s">
        <v>2945</v>
      </c>
    </row>
    <row r="294" spans="1:1" x14ac:dyDescent="0.25">
      <c r="A294" s="19" t="s">
        <v>2946</v>
      </c>
    </row>
    <row r="295" spans="1:1" x14ac:dyDescent="0.25">
      <c r="A295" s="19" t="s">
        <v>2947</v>
      </c>
    </row>
    <row r="296" spans="1:1" x14ac:dyDescent="0.25">
      <c r="A296" s="19" t="s">
        <v>2948</v>
      </c>
    </row>
    <row r="297" spans="1:1" x14ac:dyDescent="0.25">
      <c r="A297" s="19" t="s">
        <v>2949</v>
      </c>
    </row>
    <row r="298" spans="1:1" x14ac:dyDescent="0.25">
      <c r="A298" s="19" t="s">
        <v>2950</v>
      </c>
    </row>
    <row r="299" spans="1:1" x14ac:dyDescent="0.25">
      <c r="A299" s="19" t="s">
        <v>2951</v>
      </c>
    </row>
    <row r="300" spans="1:1" x14ac:dyDescent="0.25">
      <c r="A300" s="19" t="s">
        <v>2951</v>
      </c>
    </row>
    <row r="301" spans="1:1" x14ac:dyDescent="0.25">
      <c r="A301" s="19" t="s">
        <v>2952</v>
      </c>
    </row>
    <row r="302" spans="1:1" x14ac:dyDescent="0.25">
      <c r="A302" s="19" t="s">
        <v>2953</v>
      </c>
    </row>
    <row r="303" spans="1:1" x14ac:dyDescent="0.25">
      <c r="A303" s="19" t="s">
        <v>2954</v>
      </c>
    </row>
    <row r="304" spans="1:1" x14ac:dyDescent="0.25">
      <c r="A304" s="19" t="s">
        <v>2955</v>
      </c>
    </row>
    <row r="305" spans="1:1" x14ac:dyDescent="0.25">
      <c r="A305" s="19" t="s">
        <v>2956</v>
      </c>
    </row>
    <row r="306" spans="1:1" x14ac:dyDescent="0.25">
      <c r="A306" s="19" t="s">
        <v>2957</v>
      </c>
    </row>
    <row r="307" spans="1:1" x14ac:dyDescent="0.25">
      <c r="A307" s="19" t="s">
        <v>2958</v>
      </c>
    </row>
    <row r="308" spans="1:1" x14ac:dyDescent="0.25">
      <c r="A308" s="19" t="s">
        <v>2959</v>
      </c>
    </row>
    <row r="309" spans="1:1" x14ac:dyDescent="0.25">
      <c r="A309" s="19" t="s">
        <v>2960</v>
      </c>
    </row>
    <row r="310" spans="1:1" x14ac:dyDescent="0.25">
      <c r="A310" s="19" t="s">
        <v>2961</v>
      </c>
    </row>
    <row r="311" spans="1:1" x14ac:dyDescent="0.25">
      <c r="A311" s="19" t="s">
        <v>2962</v>
      </c>
    </row>
    <row r="312" spans="1:1" x14ac:dyDescent="0.25">
      <c r="A312" s="19" t="s">
        <v>2963</v>
      </c>
    </row>
    <row r="313" spans="1:1" x14ac:dyDescent="0.25">
      <c r="A313" s="19" t="s">
        <v>2964</v>
      </c>
    </row>
    <row r="314" spans="1:1" x14ac:dyDescent="0.25">
      <c r="A314" s="19" t="s">
        <v>2965</v>
      </c>
    </row>
    <row r="315" spans="1:1" x14ac:dyDescent="0.25">
      <c r="A315" s="19" t="s">
        <v>2966</v>
      </c>
    </row>
    <row r="316" spans="1:1" x14ac:dyDescent="0.25">
      <c r="A316" s="19" t="s">
        <v>2967</v>
      </c>
    </row>
    <row r="317" spans="1:1" x14ac:dyDescent="0.25">
      <c r="A317" s="19" t="s">
        <v>2968</v>
      </c>
    </row>
    <row r="318" spans="1:1" x14ac:dyDescent="0.25">
      <c r="A318" s="19" t="s">
        <v>2969</v>
      </c>
    </row>
    <row r="319" spans="1:1" x14ac:dyDescent="0.25">
      <c r="A319" s="19" t="s">
        <v>2970</v>
      </c>
    </row>
    <row r="320" spans="1:1" x14ac:dyDescent="0.25">
      <c r="A320" s="19" t="s">
        <v>2971</v>
      </c>
    </row>
    <row r="321" spans="1:1" x14ac:dyDescent="0.25">
      <c r="A321" s="19" t="s">
        <v>2972</v>
      </c>
    </row>
    <row r="322" spans="1:1" x14ac:dyDescent="0.25">
      <c r="A322" s="19" t="s">
        <v>2973</v>
      </c>
    </row>
    <row r="323" spans="1:1" x14ac:dyDescent="0.25">
      <c r="A323" s="19" t="s">
        <v>2974</v>
      </c>
    </row>
    <row r="324" spans="1:1" x14ac:dyDescent="0.25">
      <c r="A324" s="19" t="s">
        <v>2975</v>
      </c>
    </row>
    <row r="325" spans="1:1" x14ac:dyDescent="0.25">
      <c r="A325" s="19" t="s">
        <v>2976</v>
      </c>
    </row>
    <row r="326" spans="1:1" x14ac:dyDescent="0.25">
      <c r="A326" s="19" t="s">
        <v>2977</v>
      </c>
    </row>
    <row r="327" spans="1:1" x14ac:dyDescent="0.25">
      <c r="A327" s="19" t="s">
        <v>2978</v>
      </c>
    </row>
    <row r="328" spans="1:1" x14ac:dyDescent="0.25">
      <c r="A328" s="19" t="s">
        <v>2979</v>
      </c>
    </row>
    <row r="329" spans="1:1" x14ac:dyDescent="0.25">
      <c r="A329" s="19" t="s">
        <v>2980</v>
      </c>
    </row>
    <row r="330" spans="1:1" x14ac:dyDescent="0.25">
      <c r="A330" s="19" t="s">
        <v>2981</v>
      </c>
    </row>
    <row r="331" spans="1:1" x14ac:dyDescent="0.25">
      <c r="A331" s="19" t="s">
        <v>2982</v>
      </c>
    </row>
    <row r="332" spans="1:1" x14ac:dyDescent="0.25">
      <c r="A332" s="19" t="s">
        <v>2983</v>
      </c>
    </row>
    <row r="333" spans="1:1" x14ac:dyDescent="0.25">
      <c r="A333" s="19" t="s">
        <v>2983</v>
      </c>
    </row>
    <row r="334" spans="1:1" x14ac:dyDescent="0.25">
      <c r="A334" s="19" t="s">
        <v>2983</v>
      </c>
    </row>
    <row r="335" spans="1:1" x14ac:dyDescent="0.25">
      <c r="A335" s="19" t="s">
        <v>2983</v>
      </c>
    </row>
    <row r="336" spans="1:1" x14ac:dyDescent="0.25">
      <c r="A336" s="19" t="s">
        <v>2984</v>
      </c>
    </row>
    <row r="337" spans="1:1" x14ac:dyDescent="0.25">
      <c r="A337" s="19" t="s">
        <v>2985</v>
      </c>
    </row>
    <row r="338" spans="1:1" x14ac:dyDescent="0.25">
      <c r="A338" s="19" t="s">
        <v>2986</v>
      </c>
    </row>
    <row r="339" spans="1:1" x14ac:dyDescent="0.25">
      <c r="A339" s="19" t="s">
        <v>2987</v>
      </c>
    </row>
    <row r="340" spans="1:1" x14ac:dyDescent="0.25">
      <c r="A340" s="19" t="s">
        <v>2988</v>
      </c>
    </row>
    <row r="341" spans="1:1" x14ac:dyDescent="0.25">
      <c r="A341" s="19" t="s">
        <v>2989</v>
      </c>
    </row>
    <row r="342" spans="1:1" x14ac:dyDescent="0.25">
      <c r="A342" s="19" t="s">
        <v>2990</v>
      </c>
    </row>
    <row r="343" spans="1:1" x14ac:dyDescent="0.25">
      <c r="A343" s="19" t="s">
        <v>2991</v>
      </c>
    </row>
    <row r="344" spans="1:1" x14ac:dyDescent="0.25">
      <c r="A344" s="19" t="s">
        <v>2992</v>
      </c>
    </row>
    <row r="345" spans="1:1" x14ac:dyDescent="0.25">
      <c r="A345" s="19" t="s">
        <v>2993</v>
      </c>
    </row>
    <row r="346" spans="1:1" x14ac:dyDescent="0.25">
      <c r="A346" s="19" t="s">
        <v>2994</v>
      </c>
    </row>
    <row r="347" spans="1:1" x14ac:dyDescent="0.25">
      <c r="A347" s="19" t="s">
        <v>2995</v>
      </c>
    </row>
    <row r="348" spans="1:1" x14ac:dyDescent="0.25">
      <c r="A348" s="19" t="s">
        <v>2996</v>
      </c>
    </row>
    <row r="349" spans="1:1" x14ac:dyDescent="0.25">
      <c r="A349" s="19" t="s">
        <v>2997</v>
      </c>
    </row>
    <row r="350" spans="1:1" x14ac:dyDescent="0.25">
      <c r="A350" s="19" t="s">
        <v>2998</v>
      </c>
    </row>
    <row r="351" spans="1:1" x14ac:dyDescent="0.25">
      <c r="A351" s="19" t="s">
        <v>2999</v>
      </c>
    </row>
    <row r="352" spans="1:1" x14ac:dyDescent="0.25">
      <c r="A352" s="19" t="s">
        <v>3000</v>
      </c>
    </row>
    <row r="353" spans="1:1" x14ac:dyDescent="0.25">
      <c r="A353" s="19" t="s">
        <v>3001</v>
      </c>
    </row>
    <row r="354" spans="1:1" x14ac:dyDescent="0.25">
      <c r="A354" s="19" t="s">
        <v>3002</v>
      </c>
    </row>
    <row r="355" spans="1:1" x14ac:dyDescent="0.25">
      <c r="A355" s="19" t="s">
        <v>3003</v>
      </c>
    </row>
    <row r="356" spans="1:1" x14ac:dyDescent="0.25">
      <c r="A356" s="19" t="s">
        <v>3004</v>
      </c>
    </row>
    <row r="357" spans="1:1" x14ac:dyDescent="0.25">
      <c r="A357" s="19" t="s">
        <v>3005</v>
      </c>
    </row>
    <row r="358" spans="1:1" x14ac:dyDescent="0.25">
      <c r="A358" s="19" t="s">
        <v>3006</v>
      </c>
    </row>
    <row r="359" spans="1:1" x14ac:dyDescent="0.25">
      <c r="A359" s="19" t="s">
        <v>3007</v>
      </c>
    </row>
    <row r="360" spans="1:1" x14ac:dyDescent="0.25">
      <c r="A360" s="19" t="s">
        <v>3008</v>
      </c>
    </row>
    <row r="361" spans="1:1" x14ac:dyDescent="0.25">
      <c r="A361" s="19" t="s">
        <v>3009</v>
      </c>
    </row>
    <row r="362" spans="1:1" x14ac:dyDescent="0.25">
      <c r="A362" s="19" t="s">
        <v>3010</v>
      </c>
    </row>
    <row r="363" spans="1:1" x14ac:dyDescent="0.25">
      <c r="A363" s="19" t="s">
        <v>3011</v>
      </c>
    </row>
    <row r="364" spans="1:1" x14ac:dyDescent="0.25">
      <c r="A364" s="19" t="s">
        <v>3012</v>
      </c>
    </row>
    <row r="365" spans="1:1" x14ac:dyDescent="0.25">
      <c r="A365" s="19" t="s">
        <v>3013</v>
      </c>
    </row>
    <row r="366" spans="1:1" x14ac:dyDescent="0.25">
      <c r="A366" s="19" t="s">
        <v>3014</v>
      </c>
    </row>
    <row r="367" spans="1:1" x14ac:dyDescent="0.25">
      <c r="A367" s="19" t="s">
        <v>3014</v>
      </c>
    </row>
    <row r="368" spans="1:1" x14ac:dyDescent="0.25">
      <c r="A368" s="19" t="s">
        <v>3014</v>
      </c>
    </row>
    <row r="369" spans="1:1" x14ac:dyDescent="0.25">
      <c r="A369" s="19" t="s">
        <v>3015</v>
      </c>
    </row>
    <row r="370" spans="1:1" x14ac:dyDescent="0.25">
      <c r="A370" s="19" t="s">
        <v>3016</v>
      </c>
    </row>
    <row r="371" spans="1:1" x14ac:dyDescent="0.25">
      <c r="A371" s="19" t="s">
        <v>3017</v>
      </c>
    </row>
    <row r="372" spans="1:1" x14ac:dyDescent="0.25">
      <c r="A372" s="19" t="s">
        <v>3018</v>
      </c>
    </row>
    <row r="373" spans="1:1" x14ac:dyDescent="0.25">
      <c r="A373" s="19" t="s">
        <v>3019</v>
      </c>
    </row>
    <row r="374" spans="1:1" x14ac:dyDescent="0.25">
      <c r="A374" s="19" t="s">
        <v>3020</v>
      </c>
    </row>
    <row r="375" spans="1:1" x14ac:dyDescent="0.25">
      <c r="A375" s="19" t="s">
        <v>3021</v>
      </c>
    </row>
    <row r="376" spans="1:1" x14ac:dyDescent="0.25">
      <c r="A376" s="19" t="s">
        <v>3022</v>
      </c>
    </row>
    <row r="377" spans="1:1" x14ac:dyDescent="0.25">
      <c r="A377" s="19" t="s">
        <v>3023</v>
      </c>
    </row>
    <row r="378" spans="1:1" x14ac:dyDescent="0.25">
      <c r="A378" s="19" t="s">
        <v>3024</v>
      </c>
    </row>
    <row r="379" spans="1:1" x14ac:dyDescent="0.25">
      <c r="A379" s="19" t="s">
        <v>3025</v>
      </c>
    </row>
    <row r="380" spans="1:1" x14ac:dyDescent="0.25">
      <c r="A380" s="19" t="s">
        <v>3026</v>
      </c>
    </row>
    <row r="381" spans="1:1" x14ac:dyDescent="0.25">
      <c r="A381" s="19" t="s">
        <v>3027</v>
      </c>
    </row>
    <row r="382" spans="1:1" x14ac:dyDescent="0.25">
      <c r="A382" s="19" t="s">
        <v>3028</v>
      </c>
    </row>
    <row r="383" spans="1:1" x14ac:dyDescent="0.25">
      <c r="A383" s="19" t="s">
        <v>3029</v>
      </c>
    </row>
    <row r="384" spans="1:1" x14ac:dyDescent="0.25">
      <c r="A384" s="19" t="s">
        <v>3030</v>
      </c>
    </row>
    <row r="385" spans="1:1" x14ac:dyDescent="0.25">
      <c r="A385" s="19" t="s">
        <v>3031</v>
      </c>
    </row>
    <row r="386" spans="1:1" x14ac:dyDescent="0.25">
      <c r="A386" s="19" t="s">
        <v>3032</v>
      </c>
    </row>
    <row r="387" spans="1:1" x14ac:dyDescent="0.25">
      <c r="A387" s="19" t="s">
        <v>3033</v>
      </c>
    </row>
    <row r="388" spans="1:1" x14ac:dyDescent="0.25">
      <c r="A388" s="19" t="s">
        <v>3034</v>
      </c>
    </row>
    <row r="389" spans="1:1" x14ac:dyDescent="0.25">
      <c r="A389" s="19" t="s">
        <v>3035</v>
      </c>
    </row>
    <row r="390" spans="1:1" x14ac:dyDescent="0.25">
      <c r="A390" s="19" t="s">
        <v>3036</v>
      </c>
    </row>
    <row r="391" spans="1:1" x14ac:dyDescent="0.25">
      <c r="A391" s="19" t="s">
        <v>3037</v>
      </c>
    </row>
    <row r="392" spans="1:1" x14ac:dyDescent="0.25">
      <c r="A392" s="19" t="s">
        <v>3038</v>
      </c>
    </row>
    <row r="393" spans="1:1" x14ac:dyDescent="0.25">
      <c r="A393" s="19" t="s">
        <v>3039</v>
      </c>
    </row>
    <row r="394" spans="1:1" x14ac:dyDescent="0.25">
      <c r="A394" s="19" t="s">
        <v>3040</v>
      </c>
    </row>
    <row r="395" spans="1:1" x14ac:dyDescent="0.25">
      <c r="A395" s="19" t="s">
        <v>3041</v>
      </c>
    </row>
    <row r="396" spans="1:1" x14ac:dyDescent="0.25">
      <c r="A396" s="19" t="s">
        <v>3042</v>
      </c>
    </row>
    <row r="397" spans="1:1" x14ac:dyDescent="0.25">
      <c r="A397" s="19" t="s">
        <v>3043</v>
      </c>
    </row>
    <row r="398" spans="1:1" x14ac:dyDescent="0.25">
      <c r="A398" s="19" t="s">
        <v>3044</v>
      </c>
    </row>
    <row r="399" spans="1:1" x14ac:dyDescent="0.25">
      <c r="A399" s="19" t="s">
        <v>3045</v>
      </c>
    </row>
    <row r="400" spans="1:1" x14ac:dyDescent="0.25">
      <c r="A400" s="19" t="s">
        <v>3046</v>
      </c>
    </row>
    <row r="401" spans="1:1" x14ac:dyDescent="0.25">
      <c r="A401" s="19" t="s">
        <v>3047</v>
      </c>
    </row>
    <row r="402" spans="1:1" x14ac:dyDescent="0.25">
      <c r="A402" s="19" t="s">
        <v>3048</v>
      </c>
    </row>
    <row r="403" spans="1:1" x14ac:dyDescent="0.25">
      <c r="A403" s="19" t="s">
        <v>3049</v>
      </c>
    </row>
    <row r="404" spans="1:1" x14ac:dyDescent="0.25">
      <c r="A404" s="19" t="s">
        <v>3050</v>
      </c>
    </row>
    <row r="405" spans="1:1" x14ac:dyDescent="0.25">
      <c r="A405" s="19" t="s">
        <v>3051</v>
      </c>
    </row>
    <row r="406" spans="1:1" x14ac:dyDescent="0.25">
      <c r="A406" s="19" t="s">
        <v>3052</v>
      </c>
    </row>
    <row r="407" spans="1:1" x14ac:dyDescent="0.25">
      <c r="A407" s="19" t="s">
        <v>3053</v>
      </c>
    </row>
    <row r="408" spans="1:1" x14ac:dyDescent="0.25">
      <c r="A408" s="19" t="s">
        <v>3054</v>
      </c>
    </row>
    <row r="409" spans="1:1" x14ac:dyDescent="0.25">
      <c r="A409" s="19" t="s">
        <v>3055</v>
      </c>
    </row>
    <row r="410" spans="1:1" x14ac:dyDescent="0.25">
      <c r="A410" s="19" t="s">
        <v>3056</v>
      </c>
    </row>
    <row r="411" spans="1:1" x14ac:dyDescent="0.25">
      <c r="A411" s="19" t="s">
        <v>3057</v>
      </c>
    </row>
    <row r="412" spans="1:1" x14ac:dyDescent="0.25">
      <c r="A412" s="19" t="s">
        <v>3058</v>
      </c>
    </row>
    <row r="413" spans="1:1" x14ac:dyDescent="0.25">
      <c r="A413" s="19" t="s">
        <v>3059</v>
      </c>
    </row>
    <row r="414" spans="1:1" x14ac:dyDescent="0.25">
      <c r="A414" s="19" t="s">
        <v>3060</v>
      </c>
    </row>
    <row r="415" spans="1:1" x14ac:dyDescent="0.25">
      <c r="A415" s="19" t="s">
        <v>3061</v>
      </c>
    </row>
    <row r="416" spans="1:1" x14ac:dyDescent="0.25">
      <c r="A416" s="19" t="s">
        <v>3062</v>
      </c>
    </row>
    <row r="417" spans="1:1" x14ac:dyDescent="0.25">
      <c r="A417" s="19" t="s">
        <v>3063</v>
      </c>
    </row>
    <row r="418" spans="1:1" x14ac:dyDescent="0.25">
      <c r="A418" s="19" t="s">
        <v>3064</v>
      </c>
    </row>
    <row r="419" spans="1:1" x14ac:dyDescent="0.25">
      <c r="A419" s="19" t="s">
        <v>3065</v>
      </c>
    </row>
    <row r="420" spans="1:1" x14ac:dyDescent="0.25">
      <c r="A420" s="19" t="s">
        <v>3066</v>
      </c>
    </row>
    <row r="421" spans="1:1" x14ac:dyDescent="0.25">
      <c r="A421" s="19" t="s">
        <v>3067</v>
      </c>
    </row>
    <row r="422" spans="1:1" x14ac:dyDescent="0.25">
      <c r="A422" s="19" t="s">
        <v>3068</v>
      </c>
    </row>
    <row r="423" spans="1:1" x14ac:dyDescent="0.25">
      <c r="A423" s="19" t="s">
        <v>3069</v>
      </c>
    </row>
    <row r="424" spans="1:1" x14ac:dyDescent="0.25">
      <c r="A424" s="19" t="s">
        <v>3070</v>
      </c>
    </row>
    <row r="425" spans="1:1" x14ac:dyDescent="0.25">
      <c r="A425" s="19" t="s">
        <v>3071</v>
      </c>
    </row>
    <row r="426" spans="1:1" x14ac:dyDescent="0.25">
      <c r="A426" s="19" t="s">
        <v>3072</v>
      </c>
    </row>
    <row r="427" spans="1:1" x14ac:dyDescent="0.25">
      <c r="A427" s="19" t="s">
        <v>3073</v>
      </c>
    </row>
    <row r="428" spans="1:1" x14ac:dyDescent="0.25">
      <c r="A428" s="19" t="s">
        <v>3074</v>
      </c>
    </row>
    <row r="429" spans="1:1" x14ac:dyDescent="0.25">
      <c r="A429" s="19" t="s">
        <v>3075</v>
      </c>
    </row>
    <row r="430" spans="1:1" x14ac:dyDescent="0.25">
      <c r="A430" s="19" t="s">
        <v>3076</v>
      </c>
    </row>
    <row r="431" spans="1:1" x14ac:dyDescent="0.25">
      <c r="A431" s="19" t="s">
        <v>3077</v>
      </c>
    </row>
    <row r="432" spans="1:1" x14ac:dyDescent="0.25">
      <c r="A432" s="19" t="s">
        <v>3078</v>
      </c>
    </row>
    <row r="433" spans="1:1" x14ac:dyDescent="0.25">
      <c r="A433" s="19" t="s">
        <v>3079</v>
      </c>
    </row>
    <row r="434" spans="1:1" x14ac:dyDescent="0.25">
      <c r="A434" s="19" t="s">
        <v>3080</v>
      </c>
    </row>
    <row r="435" spans="1:1" x14ac:dyDescent="0.25">
      <c r="A435" s="19" t="s">
        <v>3081</v>
      </c>
    </row>
    <row r="436" spans="1:1" x14ac:dyDescent="0.25">
      <c r="A436" s="19" t="s">
        <v>3082</v>
      </c>
    </row>
    <row r="437" spans="1:1" x14ac:dyDescent="0.25">
      <c r="A437" s="19" t="s">
        <v>3083</v>
      </c>
    </row>
    <row r="438" spans="1:1" x14ac:dyDescent="0.25">
      <c r="A438" s="19" t="s">
        <v>3084</v>
      </c>
    </row>
    <row r="439" spans="1:1" x14ac:dyDescent="0.25">
      <c r="A439" s="19" t="s">
        <v>3085</v>
      </c>
    </row>
    <row r="440" spans="1:1" x14ac:dyDescent="0.25">
      <c r="A440" s="19" t="s">
        <v>3086</v>
      </c>
    </row>
    <row r="441" spans="1:1" x14ac:dyDescent="0.25">
      <c r="A441" s="19" t="s">
        <v>3087</v>
      </c>
    </row>
    <row r="442" spans="1:1" x14ac:dyDescent="0.25">
      <c r="A442" s="19" t="s">
        <v>3088</v>
      </c>
    </row>
    <row r="443" spans="1:1" x14ac:dyDescent="0.25">
      <c r="A443" s="19" t="s">
        <v>3089</v>
      </c>
    </row>
    <row r="444" spans="1:1" x14ac:dyDescent="0.25">
      <c r="A444" s="19" t="s">
        <v>3090</v>
      </c>
    </row>
    <row r="445" spans="1:1" x14ac:dyDescent="0.25">
      <c r="A445" s="19" t="s">
        <v>3091</v>
      </c>
    </row>
    <row r="446" spans="1:1" x14ac:dyDescent="0.25">
      <c r="A446" s="19" t="s">
        <v>3092</v>
      </c>
    </row>
    <row r="447" spans="1:1" x14ac:dyDescent="0.25">
      <c r="A447" s="19" t="s">
        <v>3093</v>
      </c>
    </row>
    <row r="448" spans="1:1" x14ac:dyDescent="0.25">
      <c r="A448" s="19" t="s">
        <v>3094</v>
      </c>
    </row>
    <row r="449" spans="1:1" x14ac:dyDescent="0.25">
      <c r="A449" s="19" t="s">
        <v>3095</v>
      </c>
    </row>
    <row r="450" spans="1:1" x14ac:dyDescent="0.25">
      <c r="A450" s="19" t="s">
        <v>3096</v>
      </c>
    </row>
    <row r="451" spans="1:1" x14ac:dyDescent="0.25">
      <c r="A451" s="19" t="s">
        <v>3097</v>
      </c>
    </row>
    <row r="452" spans="1:1" x14ac:dyDescent="0.25">
      <c r="A452" s="19" t="s">
        <v>3098</v>
      </c>
    </row>
    <row r="453" spans="1:1" x14ac:dyDescent="0.25">
      <c r="A453" s="19" t="s">
        <v>3099</v>
      </c>
    </row>
    <row r="454" spans="1:1" x14ac:dyDescent="0.25">
      <c r="A454" s="19" t="s">
        <v>3100</v>
      </c>
    </row>
    <row r="455" spans="1:1" x14ac:dyDescent="0.25">
      <c r="A455" s="19" t="s">
        <v>3101</v>
      </c>
    </row>
    <row r="456" spans="1:1" x14ac:dyDescent="0.25">
      <c r="A456" s="19" t="s">
        <v>3102</v>
      </c>
    </row>
    <row r="457" spans="1:1" x14ac:dyDescent="0.25">
      <c r="A457" s="19" t="s">
        <v>3103</v>
      </c>
    </row>
    <row r="458" spans="1:1" x14ac:dyDescent="0.25">
      <c r="A458" s="19" t="s">
        <v>3104</v>
      </c>
    </row>
    <row r="459" spans="1:1" x14ac:dyDescent="0.25">
      <c r="A459" s="19" t="s">
        <v>3105</v>
      </c>
    </row>
    <row r="460" spans="1:1" x14ac:dyDescent="0.25">
      <c r="A460" s="19" t="s">
        <v>3106</v>
      </c>
    </row>
    <row r="461" spans="1:1" x14ac:dyDescent="0.25">
      <c r="A461" s="19" t="s">
        <v>3107</v>
      </c>
    </row>
    <row r="462" spans="1:1" x14ac:dyDescent="0.25">
      <c r="A462" s="19" t="s">
        <v>3108</v>
      </c>
    </row>
    <row r="463" spans="1:1" x14ac:dyDescent="0.25">
      <c r="A463" s="19" t="s">
        <v>3109</v>
      </c>
    </row>
    <row r="464" spans="1:1" x14ac:dyDescent="0.25">
      <c r="A464" s="19" t="s">
        <v>3110</v>
      </c>
    </row>
    <row r="465" spans="1:1" x14ac:dyDescent="0.25">
      <c r="A465" s="19" t="s">
        <v>3111</v>
      </c>
    </row>
    <row r="466" spans="1:1" x14ac:dyDescent="0.25">
      <c r="A466" s="19" t="s">
        <v>3112</v>
      </c>
    </row>
    <row r="467" spans="1:1" x14ac:dyDescent="0.25">
      <c r="A467" s="19" t="s">
        <v>3113</v>
      </c>
    </row>
    <row r="468" spans="1:1" x14ac:dyDescent="0.25">
      <c r="A468" s="19" t="s">
        <v>3114</v>
      </c>
    </row>
    <row r="469" spans="1:1" x14ac:dyDescent="0.25">
      <c r="A469" s="19" t="s">
        <v>3115</v>
      </c>
    </row>
    <row r="470" spans="1:1" x14ac:dyDescent="0.25">
      <c r="A470" s="19" t="s">
        <v>3116</v>
      </c>
    </row>
    <row r="471" spans="1:1" x14ac:dyDescent="0.25">
      <c r="A471" s="19" t="s">
        <v>3117</v>
      </c>
    </row>
    <row r="472" spans="1:1" x14ac:dyDescent="0.25">
      <c r="A472" s="19" t="s">
        <v>3118</v>
      </c>
    </row>
    <row r="473" spans="1:1" x14ac:dyDescent="0.25">
      <c r="A473" s="19" t="s">
        <v>3119</v>
      </c>
    </row>
    <row r="474" spans="1:1" x14ac:dyDescent="0.25">
      <c r="A474" s="19" t="s">
        <v>3120</v>
      </c>
    </row>
    <row r="475" spans="1:1" x14ac:dyDescent="0.25">
      <c r="A475" s="19" t="s">
        <v>3121</v>
      </c>
    </row>
    <row r="476" spans="1:1" x14ac:dyDescent="0.25">
      <c r="A476" s="19" t="s">
        <v>3122</v>
      </c>
    </row>
    <row r="477" spans="1:1" x14ac:dyDescent="0.25">
      <c r="A477" s="19" t="s">
        <v>3123</v>
      </c>
    </row>
    <row r="478" spans="1:1" x14ac:dyDescent="0.25">
      <c r="A478" s="19" t="s">
        <v>3124</v>
      </c>
    </row>
    <row r="479" spans="1:1" x14ac:dyDescent="0.25">
      <c r="A479" s="19" t="s">
        <v>3125</v>
      </c>
    </row>
    <row r="480" spans="1:1" x14ac:dyDescent="0.25">
      <c r="A480" s="19" t="s">
        <v>3126</v>
      </c>
    </row>
    <row r="481" spans="1:1" x14ac:dyDescent="0.25">
      <c r="A481" s="19" t="s">
        <v>3127</v>
      </c>
    </row>
    <row r="482" spans="1:1" x14ac:dyDescent="0.25">
      <c r="A482" s="19" t="s">
        <v>3128</v>
      </c>
    </row>
    <row r="483" spans="1:1" x14ac:dyDescent="0.25">
      <c r="A483" s="19" t="s">
        <v>3129</v>
      </c>
    </row>
    <row r="484" spans="1:1" x14ac:dyDescent="0.25">
      <c r="A484" s="19" t="s">
        <v>3130</v>
      </c>
    </row>
    <row r="485" spans="1:1" x14ac:dyDescent="0.25">
      <c r="A485" s="19" t="s">
        <v>3131</v>
      </c>
    </row>
    <row r="486" spans="1:1" x14ac:dyDescent="0.25">
      <c r="A486" s="19" t="s">
        <v>3132</v>
      </c>
    </row>
    <row r="487" spans="1:1" x14ac:dyDescent="0.25">
      <c r="A487" s="19" t="s">
        <v>3133</v>
      </c>
    </row>
    <row r="488" spans="1:1" x14ac:dyDescent="0.25">
      <c r="A488" s="19" t="s">
        <v>3134</v>
      </c>
    </row>
    <row r="489" spans="1:1" x14ac:dyDescent="0.25">
      <c r="A489" s="19" t="s">
        <v>3135</v>
      </c>
    </row>
    <row r="490" spans="1:1" x14ac:dyDescent="0.25">
      <c r="A490" s="19" t="s">
        <v>3136</v>
      </c>
    </row>
    <row r="491" spans="1:1" x14ac:dyDescent="0.25">
      <c r="A491" s="19" t="s">
        <v>3137</v>
      </c>
    </row>
    <row r="492" spans="1:1" x14ac:dyDescent="0.25">
      <c r="A492" s="19" t="s">
        <v>3138</v>
      </c>
    </row>
    <row r="493" spans="1:1" x14ac:dyDescent="0.25">
      <c r="A493" s="19" t="s">
        <v>3139</v>
      </c>
    </row>
    <row r="494" spans="1:1" x14ac:dyDescent="0.25">
      <c r="A494" s="19" t="s">
        <v>3140</v>
      </c>
    </row>
    <row r="495" spans="1:1" x14ac:dyDescent="0.25">
      <c r="A495" s="19" t="s">
        <v>3141</v>
      </c>
    </row>
    <row r="496" spans="1:1" x14ac:dyDescent="0.25">
      <c r="A496" s="19" t="s">
        <v>3142</v>
      </c>
    </row>
    <row r="497" spans="1:1" x14ac:dyDescent="0.25">
      <c r="A497" s="19" t="s">
        <v>3143</v>
      </c>
    </row>
    <row r="498" spans="1:1" x14ac:dyDescent="0.25">
      <c r="A498" s="19" t="s">
        <v>3144</v>
      </c>
    </row>
    <row r="499" spans="1:1" x14ac:dyDescent="0.25">
      <c r="A499" s="19" t="s">
        <v>3145</v>
      </c>
    </row>
    <row r="500" spans="1:1" x14ac:dyDescent="0.25">
      <c r="A500" s="19" t="s">
        <v>3146</v>
      </c>
    </row>
    <row r="501" spans="1:1" x14ac:dyDescent="0.25">
      <c r="A501" s="19" t="s">
        <v>3147</v>
      </c>
    </row>
    <row r="502" spans="1:1" x14ac:dyDescent="0.25">
      <c r="A502" s="19" t="s">
        <v>3148</v>
      </c>
    </row>
    <row r="503" spans="1:1" x14ac:dyDescent="0.25">
      <c r="A503" s="19" t="s">
        <v>3149</v>
      </c>
    </row>
    <row r="504" spans="1:1" x14ac:dyDescent="0.25">
      <c r="A504" s="19" t="s">
        <v>3150</v>
      </c>
    </row>
    <row r="505" spans="1:1" x14ac:dyDescent="0.25">
      <c r="A505" s="19" t="s">
        <v>3151</v>
      </c>
    </row>
    <row r="506" spans="1:1" x14ac:dyDescent="0.25">
      <c r="A506" s="19" t="s">
        <v>3152</v>
      </c>
    </row>
    <row r="507" spans="1:1" x14ac:dyDescent="0.25">
      <c r="A507" s="19" t="s">
        <v>3153</v>
      </c>
    </row>
    <row r="508" spans="1:1" x14ac:dyDescent="0.25">
      <c r="A508" s="19" t="s">
        <v>3154</v>
      </c>
    </row>
    <row r="509" spans="1:1" x14ac:dyDescent="0.25">
      <c r="A509" s="19" t="s">
        <v>3155</v>
      </c>
    </row>
    <row r="510" spans="1:1" x14ac:dyDescent="0.25">
      <c r="A510" s="19" t="s">
        <v>3156</v>
      </c>
    </row>
    <row r="511" spans="1:1" x14ac:dyDescent="0.25">
      <c r="A511" s="19" t="s">
        <v>3157</v>
      </c>
    </row>
    <row r="512" spans="1:1" x14ac:dyDescent="0.25">
      <c r="A512" s="19" t="s">
        <v>3158</v>
      </c>
    </row>
    <row r="513" spans="1:1" x14ac:dyDescent="0.25">
      <c r="A513" s="19" t="s">
        <v>3159</v>
      </c>
    </row>
    <row r="514" spans="1:1" x14ac:dyDescent="0.25">
      <c r="A514" s="19" t="s">
        <v>3160</v>
      </c>
    </row>
    <row r="515" spans="1:1" x14ac:dyDescent="0.25">
      <c r="A515" s="19" t="s">
        <v>3161</v>
      </c>
    </row>
    <row r="516" spans="1:1" x14ac:dyDescent="0.25">
      <c r="A516" s="19" t="s">
        <v>3162</v>
      </c>
    </row>
    <row r="517" spans="1:1" x14ac:dyDescent="0.25">
      <c r="A517" s="19" t="s">
        <v>3163</v>
      </c>
    </row>
    <row r="518" spans="1:1" x14ac:dyDescent="0.25">
      <c r="A518" s="19" t="s">
        <v>3164</v>
      </c>
    </row>
    <row r="519" spans="1:1" x14ac:dyDescent="0.25">
      <c r="A519" s="19" t="s">
        <v>3165</v>
      </c>
    </row>
    <row r="520" spans="1:1" x14ac:dyDescent="0.25">
      <c r="A520" s="19" t="s">
        <v>3166</v>
      </c>
    </row>
    <row r="521" spans="1:1" x14ac:dyDescent="0.25">
      <c r="A521" s="19" t="s">
        <v>3167</v>
      </c>
    </row>
    <row r="522" spans="1:1" x14ac:dyDescent="0.25">
      <c r="A522" s="19" t="s">
        <v>3168</v>
      </c>
    </row>
    <row r="523" spans="1:1" x14ac:dyDescent="0.25">
      <c r="A523" s="19" t="s">
        <v>3169</v>
      </c>
    </row>
    <row r="524" spans="1:1" x14ac:dyDescent="0.25">
      <c r="A524" s="19" t="s">
        <v>3170</v>
      </c>
    </row>
    <row r="525" spans="1:1" x14ac:dyDescent="0.25">
      <c r="A525" s="19" t="s">
        <v>3171</v>
      </c>
    </row>
    <row r="526" spans="1:1" x14ac:dyDescent="0.25">
      <c r="A526" s="19" t="s">
        <v>3172</v>
      </c>
    </row>
    <row r="527" spans="1:1" x14ac:dyDescent="0.25">
      <c r="A527" s="19" t="s">
        <v>3173</v>
      </c>
    </row>
    <row r="528" spans="1:1" x14ac:dyDescent="0.25">
      <c r="A528" s="19" t="s">
        <v>3174</v>
      </c>
    </row>
    <row r="529" spans="1:1" x14ac:dyDescent="0.25">
      <c r="A529" s="19" t="s">
        <v>3175</v>
      </c>
    </row>
    <row r="530" spans="1:1" x14ac:dyDescent="0.25">
      <c r="A530" s="19" t="s">
        <v>3176</v>
      </c>
    </row>
    <row r="531" spans="1:1" x14ac:dyDescent="0.25">
      <c r="A531" s="19" t="s">
        <v>3177</v>
      </c>
    </row>
    <row r="532" spans="1:1" x14ac:dyDescent="0.25">
      <c r="A532" s="19" t="s">
        <v>3178</v>
      </c>
    </row>
    <row r="533" spans="1:1" x14ac:dyDescent="0.25">
      <c r="A533" s="19" t="s">
        <v>3179</v>
      </c>
    </row>
    <row r="534" spans="1:1" x14ac:dyDescent="0.25">
      <c r="A534" s="19" t="s">
        <v>3180</v>
      </c>
    </row>
    <row r="535" spans="1:1" x14ac:dyDescent="0.25">
      <c r="A535" s="19" t="s">
        <v>3181</v>
      </c>
    </row>
    <row r="536" spans="1:1" x14ac:dyDescent="0.25">
      <c r="A536" s="19" t="s">
        <v>3182</v>
      </c>
    </row>
    <row r="537" spans="1:1" x14ac:dyDescent="0.25">
      <c r="A537" s="19" t="s">
        <v>3183</v>
      </c>
    </row>
    <row r="538" spans="1:1" x14ac:dyDescent="0.25">
      <c r="A538" s="19" t="s">
        <v>3184</v>
      </c>
    </row>
    <row r="539" spans="1:1" x14ac:dyDescent="0.25">
      <c r="A539" s="19" t="s">
        <v>3185</v>
      </c>
    </row>
    <row r="540" spans="1:1" x14ac:dyDescent="0.25">
      <c r="A540" s="19" t="s">
        <v>3186</v>
      </c>
    </row>
    <row r="541" spans="1:1" x14ac:dyDescent="0.25">
      <c r="A541" s="19" t="s">
        <v>3187</v>
      </c>
    </row>
    <row r="542" spans="1:1" x14ac:dyDescent="0.25">
      <c r="A542" s="19" t="s">
        <v>3188</v>
      </c>
    </row>
    <row r="543" spans="1:1" x14ac:dyDescent="0.25">
      <c r="A543" s="19" t="s">
        <v>3189</v>
      </c>
    </row>
    <row r="544" spans="1:1" x14ac:dyDescent="0.25">
      <c r="A544" s="19" t="s">
        <v>3190</v>
      </c>
    </row>
    <row r="545" spans="1:1" x14ac:dyDescent="0.25">
      <c r="A545" s="19" t="s">
        <v>3191</v>
      </c>
    </row>
    <row r="546" spans="1:1" x14ac:dyDescent="0.25">
      <c r="A546" s="19" t="s">
        <v>3192</v>
      </c>
    </row>
    <row r="547" spans="1:1" x14ac:dyDescent="0.25">
      <c r="A547" s="19" t="s">
        <v>3193</v>
      </c>
    </row>
    <row r="548" spans="1:1" x14ac:dyDescent="0.25">
      <c r="A548" s="19" t="s">
        <v>3194</v>
      </c>
    </row>
    <row r="549" spans="1:1" x14ac:dyDescent="0.25">
      <c r="A549" s="19" t="s">
        <v>3195</v>
      </c>
    </row>
    <row r="550" spans="1:1" x14ac:dyDescent="0.25">
      <c r="A550" s="19" t="s">
        <v>3196</v>
      </c>
    </row>
    <row r="551" spans="1:1" x14ac:dyDescent="0.25">
      <c r="A551" s="19" t="s">
        <v>3197</v>
      </c>
    </row>
    <row r="552" spans="1:1" x14ac:dyDescent="0.25">
      <c r="A552" s="19" t="s">
        <v>3198</v>
      </c>
    </row>
    <row r="553" spans="1:1" x14ac:dyDescent="0.25">
      <c r="A553" s="19" t="s">
        <v>3199</v>
      </c>
    </row>
    <row r="554" spans="1:1" x14ac:dyDescent="0.25">
      <c r="A554" s="19" t="s">
        <v>3200</v>
      </c>
    </row>
    <row r="555" spans="1:1" x14ac:dyDescent="0.25">
      <c r="A555" s="19" t="s">
        <v>3201</v>
      </c>
    </row>
    <row r="556" spans="1:1" x14ac:dyDescent="0.25">
      <c r="A556" s="19" t="s">
        <v>3202</v>
      </c>
    </row>
    <row r="557" spans="1:1" x14ac:dyDescent="0.25">
      <c r="A557" s="19" t="s">
        <v>3203</v>
      </c>
    </row>
    <row r="558" spans="1:1" x14ac:dyDescent="0.25">
      <c r="A558" s="19" t="s">
        <v>3204</v>
      </c>
    </row>
    <row r="559" spans="1:1" x14ac:dyDescent="0.25">
      <c r="A559" s="19" t="s">
        <v>3205</v>
      </c>
    </row>
    <row r="560" spans="1:1" x14ac:dyDescent="0.25">
      <c r="A560" s="19" t="s">
        <v>3206</v>
      </c>
    </row>
    <row r="561" spans="1:1" x14ac:dyDescent="0.25">
      <c r="A561" s="19" t="s">
        <v>3207</v>
      </c>
    </row>
    <row r="562" spans="1:1" x14ac:dyDescent="0.25">
      <c r="A562" s="19" t="s">
        <v>3208</v>
      </c>
    </row>
    <row r="563" spans="1:1" x14ac:dyDescent="0.25">
      <c r="A563" s="19" t="s">
        <v>3209</v>
      </c>
    </row>
    <row r="564" spans="1:1" x14ac:dyDescent="0.25">
      <c r="A564" s="19" t="s">
        <v>3210</v>
      </c>
    </row>
    <row r="565" spans="1:1" x14ac:dyDescent="0.25">
      <c r="A565" s="19" t="s">
        <v>3211</v>
      </c>
    </row>
    <row r="566" spans="1:1" x14ac:dyDescent="0.25">
      <c r="A566" s="19" t="s">
        <v>3212</v>
      </c>
    </row>
    <row r="567" spans="1:1" x14ac:dyDescent="0.25">
      <c r="A567" s="19" t="s">
        <v>3213</v>
      </c>
    </row>
    <row r="568" spans="1:1" x14ac:dyDescent="0.25">
      <c r="A568" s="19" t="s">
        <v>3214</v>
      </c>
    </row>
    <row r="569" spans="1:1" x14ac:dyDescent="0.25">
      <c r="A569" s="19" t="s">
        <v>3215</v>
      </c>
    </row>
    <row r="570" spans="1:1" x14ac:dyDescent="0.25">
      <c r="A570" s="19" t="s">
        <v>3216</v>
      </c>
    </row>
    <row r="571" spans="1:1" x14ac:dyDescent="0.25">
      <c r="A571" s="19" t="s">
        <v>3217</v>
      </c>
    </row>
    <row r="572" spans="1:1" x14ac:dyDescent="0.25">
      <c r="A572" s="19" t="s">
        <v>3218</v>
      </c>
    </row>
    <row r="573" spans="1:1" x14ac:dyDescent="0.25">
      <c r="A573" s="19" t="s">
        <v>3219</v>
      </c>
    </row>
    <row r="574" spans="1:1" x14ac:dyDescent="0.25">
      <c r="A574" s="19" t="s">
        <v>3220</v>
      </c>
    </row>
    <row r="575" spans="1:1" x14ac:dyDescent="0.25">
      <c r="A575" s="19" t="s">
        <v>3221</v>
      </c>
    </row>
    <row r="576" spans="1:1" x14ac:dyDescent="0.25">
      <c r="A576" s="19" t="s">
        <v>3222</v>
      </c>
    </row>
    <row r="577" spans="1:1" x14ac:dyDescent="0.25">
      <c r="A577" s="19" t="s">
        <v>3223</v>
      </c>
    </row>
    <row r="578" spans="1:1" x14ac:dyDescent="0.25">
      <c r="A578" s="19" t="s">
        <v>3224</v>
      </c>
    </row>
    <row r="579" spans="1:1" x14ac:dyDescent="0.25">
      <c r="A579" s="19" t="s">
        <v>3225</v>
      </c>
    </row>
    <row r="580" spans="1:1" x14ac:dyDescent="0.25">
      <c r="A580" s="19" t="s">
        <v>3226</v>
      </c>
    </row>
    <row r="581" spans="1:1" x14ac:dyDescent="0.25">
      <c r="A581" s="19" t="s">
        <v>3227</v>
      </c>
    </row>
    <row r="582" spans="1:1" x14ac:dyDescent="0.25">
      <c r="A582" s="19" t="s">
        <v>3228</v>
      </c>
    </row>
    <row r="583" spans="1:1" x14ac:dyDescent="0.25">
      <c r="A583" s="19" t="s">
        <v>3229</v>
      </c>
    </row>
    <row r="584" spans="1:1" x14ac:dyDescent="0.25">
      <c r="A584" s="19" t="s">
        <v>3230</v>
      </c>
    </row>
    <row r="585" spans="1:1" x14ac:dyDescent="0.25">
      <c r="A585" s="19" t="s">
        <v>3231</v>
      </c>
    </row>
    <row r="586" spans="1:1" x14ac:dyDescent="0.25">
      <c r="A586" s="19" t="s">
        <v>3232</v>
      </c>
    </row>
    <row r="587" spans="1:1" x14ac:dyDescent="0.25">
      <c r="A587" s="19" t="s">
        <v>3233</v>
      </c>
    </row>
    <row r="588" spans="1:1" x14ac:dyDescent="0.25">
      <c r="A588" s="19" t="s">
        <v>3234</v>
      </c>
    </row>
    <row r="589" spans="1:1" x14ac:dyDescent="0.25">
      <c r="A589" s="19" t="s">
        <v>3235</v>
      </c>
    </row>
    <row r="590" spans="1:1" x14ac:dyDescent="0.25">
      <c r="A590" s="19" t="s">
        <v>3236</v>
      </c>
    </row>
    <row r="591" spans="1:1" x14ac:dyDescent="0.25">
      <c r="A591" s="19" t="s">
        <v>3237</v>
      </c>
    </row>
    <row r="592" spans="1:1" x14ac:dyDescent="0.25">
      <c r="A592" s="19" t="s">
        <v>3238</v>
      </c>
    </row>
    <row r="593" spans="1:1" x14ac:dyDescent="0.25">
      <c r="A593" s="19" t="s">
        <v>3239</v>
      </c>
    </row>
    <row r="594" spans="1:1" x14ac:dyDescent="0.25">
      <c r="A594" s="19" t="s">
        <v>3240</v>
      </c>
    </row>
    <row r="595" spans="1:1" x14ac:dyDescent="0.25">
      <c r="A595" s="19" t="s">
        <v>3241</v>
      </c>
    </row>
    <row r="596" spans="1:1" x14ac:dyDescent="0.25">
      <c r="A596" s="19" t="s">
        <v>3242</v>
      </c>
    </row>
    <row r="597" spans="1:1" x14ac:dyDescent="0.25">
      <c r="A597" s="19" t="s">
        <v>3243</v>
      </c>
    </row>
    <row r="598" spans="1:1" x14ac:dyDescent="0.25">
      <c r="A598" s="19" t="s">
        <v>3244</v>
      </c>
    </row>
    <row r="599" spans="1:1" x14ac:dyDescent="0.25">
      <c r="A599" s="19" t="s">
        <v>3245</v>
      </c>
    </row>
    <row r="600" spans="1:1" x14ac:dyDescent="0.25">
      <c r="A600" s="19" t="s">
        <v>3246</v>
      </c>
    </row>
    <row r="601" spans="1:1" x14ac:dyDescent="0.25">
      <c r="A601" s="19" t="s">
        <v>3247</v>
      </c>
    </row>
    <row r="602" spans="1:1" x14ac:dyDescent="0.25">
      <c r="A602" s="19" t="s">
        <v>3247</v>
      </c>
    </row>
    <row r="603" spans="1:1" x14ac:dyDescent="0.25">
      <c r="A603" s="19" t="s">
        <v>3248</v>
      </c>
    </row>
    <row r="604" spans="1:1" x14ac:dyDescent="0.25">
      <c r="A604" s="19" t="s">
        <v>3249</v>
      </c>
    </row>
    <row r="605" spans="1:1" x14ac:dyDescent="0.25">
      <c r="A605" s="19" t="s">
        <v>3250</v>
      </c>
    </row>
    <row r="606" spans="1:1" x14ac:dyDescent="0.25">
      <c r="A606" s="19" t="s">
        <v>3251</v>
      </c>
    </row>
    <row r="607" spans="1:1" x14ac:dyDescent="0.25">
      <c r="A607" s="19" t="s">
        <v>3252</v>
      </c>
    </row>
    <row r="608" spans="1:1" x14ac:dyDescent="0.25">
      <c r="A608" s="19" t="s">
        <v>3253</v>
      </c>
    </row>
    <row r="609" spans="1:1" x14ac:dyDescent="0.25">
      <c r="A609" s="19" t="s">
        <v>3253</v>
      </c>
    </row>
    <row r="610" spans="1:1" x14ac:dyDescent="0.25">
      <c r="A610" s="19" t="s">
        <v>3253</v>
      </c>
    </row>
    <row r="611" spans="1:1" x14ac:dyDescent="0.25">
      <c r="A611" s="19" t="s">
        <v>3254</v>
      </c>
    </row>
    <row r="612" spans="1:1" x14ac:dyDescent="0.25">
      <c r="A612" s="19" t="s">
        <v>3255</v>
      </c>
    </row>
    <row r="613" spans="1:1" x14ac:dyDescent="0.25">
      <c r="A613" s="19" t="s">
        <v>3256</v>
      </c>
    </row>
    <row r="614" spans="1:1" x14ac:dyDescent="0.25">
      <c r="A614" s="19" t="s">
        <v>3257</v>
      </c>
    </row>
    <row r="615" spans="1:1" x14ac:dyDescent="0.25">
      <c r="A615" s="19" t="s">
        <v>3258</v>
      </c>
    </row>
    <row r="616" spans="1:1" x14ac:dyDescent="0.25">
      <c r="A616" s="19" t="s">
        <v>3259</v>
      </c>
    </row>
    <row r="617" spans="1:1" x14ac:dyDescent="0.25">
      <c r="A617" s="19" t="s">
        <v>3260</v>
      </c>
    </row>
    <row r="618" spans="1:1" x14ac:dyDescent="0.25">
      <c r="A618" s="19" t="s">
        <v>3261</v>
      </c>
    </row>
    <row r="619" spans="1:1" x14ac:dyDescent="0.25">
      <c r="A619" s="19" t="s">
        <v>3262</v>
      </c>
    </row>
    <row r="620" spans="1:1" x14ac:dyDescent="0.25">
      <c r="A620" s="19" t="s">
        <v>3263</v>
      </c>
    </row>
    <row r="621" spans="1:1" x14ac:dyDescent="0.25">
      <c r="A621" s="19" t="s">
        <v>3264</v>
      </c>
    </row>
    <row r="622" spans="1:1" x14ac:dyDescent="0.25">
      <c r="A622" s="19" t="s">
        <v>3265</v>
      </c>
    </row>
    <row r="623" spans="1:1" x14ac:dyDescent="0.25">
      <c r="A623" s="19" t="s">
        <v>3266</v>
      </c>
    </row>
    <row r="624" spans="1:1" x14ac:dyDescent="0.25">
      <c r="A624" s="19" t="s">
        <v>3267</v>
      </c>
    </row>
    <row r="625" spans="1:1" x14ac:dyDescent="0.25">
      <c r="A625" s="19" t="s">
        <v>3268</v>
      </c>
    </row>
    <row r="626" spans="1:1" x14ac:dyDescent="0.25">
      <c r="A626" s="19" t="s">
        <v>3269</v>
      </c>
    </row>
    <row r="627" spans="1:1" x14ac:dyDescent="0.25">
      <c r="A627" s="19" t="s">
        <v>3270</v>
      </c>
    </row>
    <row r="628" spans="1:1" x14ac:dyDescent="0.25">
      <c r="A628" s="19" t="s">
        <v>3271</v>
      </c>
    </row>
    <row r="629" spans="1:1" x14ac:dyDescent="0.25">
      <c r="A629" s="19" t="s">
        <v>3272</v>
      </c>
    </row>
    <row r="630" spans="1:1" x14ac:dyDescent="0.25">
      <c r="A630" s="19" t="s">
        <v>3273</v>
      </c>
    </row>
    <row r="631" spans="1:1" x14ac:dyDescent="0.25">
      <c r="A631" s="19" t="s">
        <v>3274</v>
      </c>
    </row>
    <row r="632" spans="1:1" x14ac:dyDescent="0.25">
      <c r="A632" s="19" t="s">
        <v>3275</v>
      </c>
    </row>
    <row r="633" spans="1:1" x14ac:dyDescent="0.25">
      <c r="A633" s="19" t="s">
        <v>3276</v>
      </c>
    </row>
    <row r="634" spans="1:1" x14ac:dyDescent="0.25">
      <c r="A634" s="19" t="s">
        <v>3277</v>
      </c>
    </row>
    <row r="635" spans="1:1" x14ac:dyDescent="0.25">
      <c r="A635" s="19" t="s">
        <v>3278</v>
      </c>
    </row>
    <row r="636" spans="1:1" x14ac:dyDescent="0.25">
      <c r="A636" s="19" t="s">
        <v>3279</v>
      </c>
    </row>
    <row r="637" spans="1:1" x14ac:dyDescent="0.25">
      <c r="A637" s="19" t="s">
        <v>3280</v>
      </c>
    </row>
    <row r="638" spans="1:1" x14ac:dyDescent="0.25">
      <c r="A638" s="19" t="s">
        <v>3281</v>
      </c>
    </row>
    <row r="639" spans="1:1" x14ac:dyDescent="0.25">
      <c r="A639" s="19" t="s">
        <v>3282</v>
      </c>
    </row>
    <row r="640" spans="1:1" x14ac:dyDescent="0.25">
      <c r="A640" s="19" t="s">
        <v>3283</v>
      </c>
    </row>
    <row r="641" spans="1:1" x14ac:dyDescent="0.25">
      <c r="A641" s="19" t="s">
        <v>3284</v>
      </c>
    </row>
    <row r="642" spans="1:1" x14ac:dyDescent="0.25">
      <c r="A642" s="19" t="s">
        <v>3285</v>
      </c>
    </row>
    <row r="643" spans="1:1" x14ac:dyDescent="0.25">
      <c r="A643" s="19" t="s">
        <v>3286</v>
      </c>
    </row>
    <row r="644" spans="1:1" x14ac:dyDescent="0.25">
      <c r="A644" s="19" t="s">
        <v>3287</v>
      </c>
    </row>
    <row r="645" spans="1:1" x14ac:dyDescent="0.25">
      <c r="A645" s="19" t="s">
        <v>3288</v>
      </c>
    </row>
    <row r="646" spans="1:1" x14ac:dyDescent="0.25">
      <c r="A646" s="19" t="s">
        <v>3289</v>
      </c>
    </row>
    <row r="647" spans="1:1" x14ac:dyDescent="0.25">
      <c r="A647" s="19" t="s">
        <v>3290</v>
      </c>
    </row>
    <row r="648" spans="1:1" x14ac:dyDescent="0.25">
      <c r="A648" s="19" t="s">
        <v>3291</v>
      </c>
    </row>
    <row r="649" spans="1:1" x14ac:dyDescent="0.25">
      <c r="A649" s="19" t="s">
        <v>3292</v>
      </c>
    </row>
    <row r="650" spans="1:1" x14ac:dyDescent="0.25">
      <c r="A650" s="19" t="s">
        <v>3293</v>
      </c>
    </row>
    <row r="651" spans="1:1" x14ac:dyDescent="0.25">
      <c r="A651" s="19" t="s">
        <v>3294</v>
      </c>
    </row>
    <row r="652" spans="1:1" x14ac:dyDescent="0.25">
      <c r="A652" s="19" t="s">
        <v>3295</v>
      </c>
    </row>
    <row r="653" spans="1:1" x14ac:dyDescent="0.25">
      <c r="A653" s="19" t="s">
        <v>3296</v>
      </c>
    </row>
    <row r="654" spans="1:1" x14ac:dyDescent="0.25">
      <c r="A654" s="19" t="s">
        <v>3297</v>
      </c>
    </row>
    <row r="655" spans="1:1" x14ac:dyDescent="0.25">
      <c r="A655" s="19" t="s">
        <v>3298</v>
      </c>
    </row>
    <row r="656" spans="1:1" x14ac:dyDescent="0.25">
      <c r="A656" s="19" t="s">
        <v>3299</v>
      </c>
    </row>
    <row r="657" spans="1:1" x14ac:dyDescent="0.25">
      <c r="A657" s="19" t="s">
        <v>3300</v>
      </c>
    </row>
    <row r="658" spans="1:1" x14ac:dyDescent="0.25">
      <c r="A658" s="19" t="s">
        <v>3301</v>
      </c>
    </row>
    <row r="659" spans="1:1" x14ac:dyDescent="0.25">
      <c r="A659" s="19" t="s">
        <v>3302</v>
      </c>
    </row>
    <row r="660" spans="1:1" x14ac:dyDescent="0.25">
      <c r="A660" s="19" t="s">
        <v>3303</v>
      </c>
    </row>
    <row r="661" spans="1:1" x14ac:dyDescent="0.25">
      <c r="A661" s="19" t="s">
        <v>3303</v>
      </c>
    </row>
    <row r="662" spans="1:1" x14ac:dyDescent="0.25">
      <c r="A662" s="19" t="s">
        <v>3304</v>
      </c>
    </row>
    <row r="663" spans="1:1" x14ac:dyDescent="0.25">
      <c r="A663" s="19" t="s">
        <v>3305</v>
      </c>
    </row>
    <row r="664" spans="1:1" x14ac:dyDescent="0.25">
      <c r="A664" s="19" t="s">
        <v>3306</v>
      </c>
    </row>
    <row r="665" spans="1:1" x14ac:dyDescent="0.25">
      <c r="A665" s="19" t="s">
        <v>3307</v>
      </c>
    </row>
    <row r="666" spans="1:1" x14ac:dyDescent="0.25">
      <c r="A666" s="19" t="s">
        <v>3308</v>
      </c>
    </row>
    <row r="667" spans="1:1" x14ac:dyDescent="0.25">
      <c r="A667" s="19" t="s">
        <v>3309</v>
      </c>
    </row>
    <row r="668" spans="1:1" x14ac:dyDescent="0.25">
      <c r="A668" s="19" t="s">
        <v>3310</v>
      </c>
    </row>
    <row r="669" spans="1:1" x14ac:dyDescent="0.25">
      <c r="A669" s="19" t="s">
        <v>3311</v>
      </c>
    </row>
    <row r="670" spans="1:1" x14ac:dyDescent="0.25">
      <c r="A670" s="19" t="s">
        <v>3312</v>
      </c>
    </row>
    <row r="671" spans="1:1" x14ac:dyDescent="0.25">
      <c r="A671" s="19" t="s">
        <v>3313</v>
      </c>
    </row>
    <row r="672" spans="1:1" x14ac:dyDescent="0.25">
      <c r="A672" s="19" t="s">
        <v>3314</v>
      </c>
    </row>
    <row r="673" spans="1:1" x14ac:dyDescent="0.25">
      <c r="A673" s="19" t="s">
        <v>3315</v>
      </c>
    </row>
    <row r="674" spans="1:1" x14ac:dyDescent="0.25">
      <c r="A674" s="19" t="s">
        <v>3316</v>
      </c>
    </row>
    <row r="675" spans="1:1" x14ac:dyDescent="0.25">
      <c r="A675" s="19" t="s">
        <v>3317</v>
      </c>
    </row>
    <row r="676" spans="1:1" x14ac:dyDescent="0.25">
      <c r="A676" s="19" t="s">
        <v>3318</v>
      </c>
    </row>
    <row r="677" spans="1:1" x14ac:dyDescent="0.25">
      <c r="A677" s="19" t="s">
        <v>3319</v>
      </c>
    </row>
    <row r="678" spans="1:1" x14ac:dyDescent="0.25">
      <c r="A678" s="19" t="s">
        <v>3320</v>
      </c>
    </row>
    <row r="679" spans="1:1" x14ac:dyDescent="0.25">
      <c r="A679" s="19" t="s">
        <v>3321</v>
      </c>
    </row>
    <row r="680" spans="1:1" x14ac:dyDescent="0.25">
      <c r="A680" s="19" t="s">
        <v>3322</v>
      </c>
    </row>
    <row r="681" spans="1:1" x14ac:dyDescent="0.25">
      <c r="A681" s="19" t="s">
        <v>3323</v>
      </c>
    </row>
    <row r="682" spans="1:1" x14ac:dyDescent="0.25">
      <c r="A682" s="19" t="s">
        <v>3324</v>
      </c>
    </row>
    <row r="683" spans="1:1" x14ac:dyDescent="0.25">
      <c r="A683" s="19" t="s">
        <v>3325</v>
      </c>
    </row>
    <row r="684" spans="1:1" x14ac:dyDescent="0.25">
      <c r="A684" s="19" t="s">
        <v>3326</v>
      </c>
    </row>
    <row r="685" spans="1:1" x14ac:dyDescent="0.25">
      <c r="A685" s="19" t="s">
        <v>3327</v>
      </c>
    </row>
    <row r="686" spans="1:1" x14ac:dyDescent="0.25">
      <c r="A686" s="19" t="s">
        <v>3328</v>
      </c>
    </row>
    <row r="687" spans="1:1" x14ac:dyDescent="0.25">
      <c r="A687" s="19" t="s">
        <v>3329</v>
      </c>
    </row>
    <row r="688" spans="1:1" x14ac:dyDescent="0.25">
      <c r="A688" s="19" t="s">
        <v>3330</v>
      </c>
    </row>
    <row r="689" spans="1:1" x14ac:dyDescent="0.25">
      <c r="A689" s="19" t="s">
        <v>3331</v>
      </c>
    </row>
    <row r="690" spans="1:1" x14ac:dyDescent="0.25">
      <c r="A690" s="19" t="s">
        <v>3332</v>
      </c>
    </row>
    <row r="691" spans="1:1" x14ac:dyDescent="0.25">
      <c r="A691" s="19" t="s">
        <v>3333</v>
      </c>
    </row>
    <row r="692" spans="1:1" x14ac:dyDescent="0.25">
      <c r="A692" s="19" t="s">
        <v>3334</v>
      </c>
    </row>
    <row r="693" spans="1:1" x14ac:dyDescent="0.25">
      <c r="A693" s="19" t="s">
        <v>3335</v>
      </c>
    </row>
    <row r="694" spans="1:1" x14ac:dyDescent="0.25">
      <c r="A694" s="19" t="s">
        <v>3336</v>
      </c>
    </row>
    <row r="695" spans="1:1" x14ac:dyDescent="0.25">
      <c r="A695" s="19" t="s">
        <v>3337</v>
      </c>
    </row>
    <row r="696" spans="1:1" x14ac:dyDescent="0.25">
      <c r="A696" s="19" t="s">
        <v>3338</v>
      </c>
    </row>
    <row r="697" spans="1:1" x14ac:dyDescent="0.25">
      <c r="A697" s="19" t="s">
        <v>3339</v>
      </c>
    </row>
    <row r="698" spans="1:1" x14ac:dyDescent="0.25">
      <c r="A698" s="19" t="s">
        <v>3340</v>
      </c>
    </row>
    <row r="699" spans="1:1" x14ac:dyDescent="0.25">
      <c r="A699" s="19" t="s">
        <v>3341</v>
      </c>
    </row>
    <row r="700" spans="1:1" x14ac:dyDescent="0.25">
      <c r="A700" s="19" t="s">
        <v>3342</v>
      </c>
    </row>
    <row r="701" spans="1:1" x14ac:dyDescent="0.25">
      <c r="A701" s="19" t="s">
        <v>3343</v>
      </c>
    </row>
    <row r="702" spans="1:1" x14ac:dyDescent="0.25">
      <c r="A702" s="19" t="s">
        <v>3344</v>
      </c>
    </row>
    <row r="703" spans="1:1" x14ac:dyDescent="0.25">
      <c r="A703" s="19" t="s">
        <v>3345</v>
      </c>
    </row>
    <row r="704" spans="1:1" x14ac:dyDescent="0.25">
      <c r="A704" s="19" t="s">
        <v>3346</v>
      </c>
    </row>
    <row r="705" spans="1:1" x14ac:dyDescent="0.25">
      <c r="A705" s="19" t="s">
        <v>3347</v>
      </c>
    </row>
    <row r="706" spans="1:1" x14ac:dyDescent="0.25">
      <c r="A706" s="19" t="s">
        <v>3348</v>
      </c>
    </row>
    <row r="707" spans="1:1" x14ac:dyDescent="0.25">
      <c r="A707" s="19" t="s">
        <v>3349</v>
      </c>
    </row>
    <row r="708" spans="1:1" x14ac:dyDescent="0.25">
      <c r="A708" s="19" t="s">
        <v>3350</v>
      </c>
    </row>
    <row r="709" spans="1:1" x14ac:dyDescent="0.25">
      <c r="A709" s="19" t="s">
        <v>3351</v>
      </c>
    </row>
    <row r="710" spans="1:1" x14ac:dyDescent="0.25">
      <c r="A710" s="19" t="s">
        <v>3352</v>
      </c>
    </row>
    <row r="711" spans="1:1" x14ac:dyDescent="0.25">
      <c r="A711" s="19" t="s">
        <v>3353</v>
      </c>
    </row>
    <row r="712" spans="1:1" x14ac:dyDescent="0.25">
      <c r="A712" s="19" t="s">
        <v>3354</v>
      </c>
    </row>
    <row r="713" spans="1:1" x14ac:dyDescent="0.25">
      <c r="A713" s="19" t="s">
        <v>3355</v>
      </c>
    </row>
    <row r="714" spans="1:1" x14ac:dyDescent="0.25">
      <c r="A714" s="19" t="s">
        <v>3356</v>
      </c>
    </row>
    <row r="715" spans="1:1" x14ac:dyDescent="0.25">
      <c r="A715" s="19" t="s">
        <v>3357</v>
      </c>
    </row>
    <row r="716" spans="1:1" x14ac:dyDescent="0.25">
      <c r="A716" s="19" t="s">
        <v>3358</v>
      </c>
    </row>
    <row r="717" spans="1:1" x14ac:dyDescent="0.25">
      <c r="A717" s="19" t="s">
        <v>3359</v>
      </c>
    </row>
    <row r="718" spans="1:1" x14ac:dyDescent="0.25">
      <c r="A718" s="19" t="s">
        <v>3360</v>
      </c>
    </row>
    <row r="719" spans="1:1" x14ac:dyDescent="0.25">
      <c r="A719" s="19" t="s">
        <v>3361</v>
      </c>
    </row>
    <row r="720" spans="1:1" x14ac:dyDescent="0.25">
      <c r="A720" s="19" t="s">
        <v>3362</v>
      </c>
    </row>
    <row r="721" spans="1:1" x14ac:dyDescent="0.25">
      <c r="A721" s="19" t="s">
        <v>3363</v>
      </c>
    </row>
    <row r="722" spans="1:1" x14ac:dyDescent="0.25">
      <c r="A722" s="19" t="s">
        <v>3363</v>
      </c>
    </row>
    <row r="723" spans="1:1" x14ac:dyDescent="0.25">
      <c r="A723" s="19" t="s">
        <v>3363</v>
      </c>
    </row>
    <row r="724" spans="1:1" x14ac:dyDescent="0.25">
      <c r="A724" s="19" t="s">
        <v>3364</v>
      </c>
    </row>
    <row r="725" spans="1:1" x14ac:dyDescent="0.25">
      <c r="A725" s="19" t="s">
        <v>3365</v>
      </c>
    </row>
    <row r="726" spans="1:1" x14ac:dyDescent="0.25">
      <c r="A726" s="19" t="s">
        <v>3366</v>
      </c>
    </row>
    <row r="727" spans="1:1" x14ac:dyDescent="0.25">
      <c r="A727" s="19" t="s">
        <v>3367</v>
      </c>
    </row>
    <row r="728" spans="1:1" x14ac:dyDescent="0.25">
      <c r="A728" s="19" t="s">
        <v>3368</v>
      </c>
    </row>
    <row r="729" spans="1:1" x14ac:dyDescent="0.25">
      <c r="A729" s="19" t="s">
        <v>3369</v>
      </c>
    </row>
    <row r="730" spans="1:1" x14ac:dyDescent="0.25">
      <c r="A730" s="19" t="s">
        <v>3370</v>
      </c>
    </row>
    <row r="731" spans="1:1" x14ac:dyDescent="0.25">
      <c r="A731" s="19" t="s">
        <v>3371</v>
      </c>
    </row>
    <row r="732" spans="1:1" x14ac:dyDescent="0.25">
      <c r="A732" s="19" t="s">
        <v>3372</v>
      </c>
    </row>
    <row r="733" spans="1:1" x14ac:dyDescent="0.25">
      <c r="A733" s="19" t="s">
        <v>3373</v>
      </c>
    </row>
    <row r="734" spans="1:1" x14ac:dyDescent="0.25">
      <c r="A734" s="19" t="s">
        <v>3374</v>
      </c>
    </row>
    <row r="735" spans="1:1" x14ac:dyDescent="0.25">
      <c r="A735" s="19" t="s">
        <v>3375</v>
      </c>
    </row>
    <row r="736" spans="1:1" x14ac:dyDescent="0.25">
      <c r="A736" s="19" t="s">
        <v>3376</v>
      </c>
    </row>
    <row r="737" spans="1:1" x14ac:dyDescent="0.25">
      <c r="A737" s="19" t="s">
        <v>3377</v>
      </c>
    </row>
    <row r="738" spans="1:1" x14ac:dyDescent="0.25">
      <c r="A738" s="19" t="s">
        <v>3378</v>
      </c>
    </row>
    <row r="739" spans="1:1" x14ac:dyDescent="0.25">
      <c r="A739" s="19" t="s">
        <v>3379</v>
      </c>
    </row>
    <row r="740" spans="1:1" x14ac:dyDescent="0.25">
      <c r="A740" s="19" t="s">
        <v>3380</v>
      </c>
    </row>
    <row r="741" spans="1:1" x14ac:dyDescent="0.25">
      <c r="A741" s="19" t="s">
        <v>3381</v>
      </c>
    </row>
    <row r="742" spans="1:1" x14ac:dyDescent="0.25">
      <c r="A742" s="19" t="s">
        <v>3382</v>
      </c>
    </row>
    <row r="743" spans="1:1" x14ac:dyDescent="0.25">
      <c r="A743" s="19" t="s">
        <v>3383</v>
      </c>
    </row>
    <row r="744" spans="1:1" x14ac:dyDescent="0.25">
      <c r="A744" s="19" t="s">
        <v>3383</v>
      </c>
    </row>
    <row r="745" spans="1:1" x14ac:dyDescent="0.25">
      <c r="A745" s="19" t="s">
        <v>3383</v>
      </c>
    </row>
    <row r="746" spans="1:1" x14ac:dyDescent="0.25">
      <c r="A746" s="19" t="s">
        <v>3384</v>
      </c>
    </row>
    <row r="747" spans="1:1" x14ac:dyDescent="0.25">
      <c r="A747" s="19" t="s">
        <v>3385</v>
      </c>
    </row>
    <row r="748" spans="1:1" x14ac:dyDescent="0.25">
      <c r="A748" s="19" t="s">
        <v>3386</v>
      </c>
    </row>
    <row r="749" spans="1:1" x14ac:dyDescent="0.25">
      <c r="A749" s="19" t="s">
        <v>3387</v>
      </c>
    </row>
    <row r="750" spans="1:1" x14ac:dyDescent="0.25">
      <c r="A750" s="19" t="s">
        <v>3388</v>
      </c>
    </row>
    <row r="751" spans="1:1" x14ac:dyDescent="0.25">
      <c r="A751" s="19" t="s">
        <v>3389</v>
      </c>
    </row>
    <row r="752" spans="1:1" x14ac:dyDescent="0.25">
      <c r="A752" s="19" t="s">
        <v>3390</v>
      </c>
    </row>
    <row r="753" spans="1:1" x14ac:dyDescent="0.25">
      <c r="A753" s="19" t="s">
        <v>3391</v>
      </c>
    </row>
    <row r="754" spans="1:1" x14ac:dyDescent="0.25">
      <c r="A754" s="19" t="s">
        <v>3392</v>
      </c>
    </row>
    <row r="755" spans="1:1" x14ac:dyDescent="0.25">
      <c r="A755" s="19" t="s">
        <v>3393</v>
      </c>
    </row>
    <row r="756" spans="1:1" x14ac:dyDescent="0.25">
      <c r="A756" s="19" t="s">
        <v>3394</v>
      </c>
    </row>
    <row r="757" spans="1:1" x14ac:dyDescent="0.25">
      <c r="A757" s="19" t="s">
        <v>3395</v>
      </c>
    </row>
    <row r="758" spans="1:1" x14ac:dyDescent="0.25">
      <c r="A758" s="19" t="s">
        <v>3396</v>
      </c>
    </row>
    <row r="759" spans="1:1" x14ac:dyDescent="0.25">
      <c r="A759" s="19" t="s">
        <v>3397</v>
      </c>
    </row>
    <row r="760" spans="1:1" x14ac:dyDescent="0.25">
      <c r="A760" s="19" t="s">
        <v>3398</v>
      </c>
    </row>
    <row r="761" spans="1:1" x14ac:dyDescent="0.25">
      <c r="A761" s="19" t="s">
        <v>3399</v>
      </c>
    </row>
    <row r="762" spans="1:1" x14ac:dyDescent="0.25">
      <c r="A762" s="19" t="s">
        <v>3400</v>
      </c>
    </row>
    <row r="763" spans="1:1" x14ac:dyDescent="0.25">
      <c r="A763" s="19" t="s">
        <v>3401</v>
      </c>
    </row>
    <row r="764" spans="1:1" x14ac:dyDescent="0.25">
      <c r="A764" s="19" t="s">
        <v>3402</v>
      </c>
    </row>
    <row r="765" spans="1:1" x14ac:dyDescent="0.25">
      <c r="A765" s="19" t="s">
        <v>3403</v>
      </c>
    </row>
    <row r="766" spans="1:1" x14ac:dyDescent="0.25">
      <c r="A766" s="19" t="s">
        <v>3404</v>
      </c>
    </row>
    <row r="767" spans="1:1" x14ac:dyDescent="0.25">
      <c r="A767" s="19" t="s">
        <v>3405</v>
      </c>
    </row>
    <row r="768" spans="1:1" x14ac:dyDescent="0.25">
      <c r="A768" s="19" t="s">
        <v>3406</v>
      </c>
    </row>
    <row r="769" spans="1:1" x14ac:dyDescent="0.25">
      <c r="A769" s="19" t="s">
        <v>3407</v>
      </c>
    </row>
    <row r="770" spans="1:1" x14ac:dyDescent="0.25">
      <c r="A770" s="19" t="s">
        <v>3408</v>
      </c>
    </row>
    <row r="771" spans="1:1" x14ac:dyDescent="0.25">
      <c r="A771" s="19" t="s">
        <v>3409</v>
      </c>
    </row>
    <row r="772" spans="1:1" x14ac:dyDescent="0.25">
      <c r="A772" s="19" t="s">
        <v>3410</v>
      </c>
    </row>
    <row r="773" spans="1:1" x14ac:dyDescent="0.25">
      <c r="A773" s="19" t="s">
        <v>3411</v>
      </c>
    </row>
    <row r="774" spans="1:1" x14ac:dyDescent="0.25">
      <c r="A774" s="19" t="s">
        <v>3412</v>
      </c>
    </row>
    <row r="775" spans="1:1" x14ac:dyDescent="0.25">
      <c r="A775" s="19" t="s">
        <v>3413</v>
      </c>
    </row>
    <row r="776" spans="1:1" x14ac:dyDescent="0.25">
      <c r="A776" s="19" t="s">
        <v>3414</v>
      </c>
    </row>
    <row r="777" spans="1:1" x14ac:dyDescent="0.25">
      <c r="A777" s="19" t="s">
        <v>3415</v>
      </c>
    </row>
    <row r="778" spans="1:1" x14ac:dyDescent="0.25">
      <c r="A778" s="19" t="s">
        <v>3416</v>
      </c>
    </row>
    <row r="779" spans="1:1" x14ac:dyDescent="0.25">
      <c r="A779" s="19" t="s">
        <v>3417</v>
      </c>
    </row>
    <row r="780" spans="1:1" x14ac:dyDescent="0.25">
      <c r="A780" s="19" t="s">
        <v>3418</v>
      </c>
    </row>
    <row r="781" spans="1:1" x14ac:dyDescent="0.25">
      <c r="A781" s="19" t="s">
        <v>3419</v>
      </c>
    </row>
    <row r="782" spans="1:1" x14ac:dyDescent="0.25">
      <c r="A782" s="19" t="s">
        <v>3420</v>
      </c>
    </row>
    <row r="783" spans="1:1" x14ac:dyDescent="0.25">
      <c r="A783" s="19" t="s">
        <v>3421</v>
      </c>
    </row>
    <row r="784" spans="1:1" x14ac:dyDescent="0.25">
      <c r="A784" s="19" t="s">
        <v>3422</v>
      </c>
    </row>
    <row r="785" spans="1:1" x14ac:dyDescent="0.25">
      <c r="A785" s="19" t="s">
        <v>3423</v>
      </c>
    </row>
    <row r="786" spans="1:1" x14ac:dyDescent="0.25">
      <c r="A786" s="19" t="s">
        <v>3424</v>
      </c>
    </row>
    <row r="787" spans="1:1" x14ac:dyDescent="0.25">
      <c r="A787" s="19" t="s">
        <v>3425</v>
      </c>
    </row>
    <row r="788" spans="1:1" x14ac:dyDescent="0.25">
      <c r="A788" s="19" t="s">
        <v>3426</v>
      </c>
    </row>
    <row r="789" spans="1:1" x14ac:dyDescent="0.25">
      <c r="A789" s="19" t="s">
        <v>3427</v>
      </c>
    </row>
    <row r="790" spans="1:1" x14ac:dyDescent="0.25">
      <c r="A790" s="19" t="s">
        <v>3428</v>
      </c>
    </row>
    <row r="791" spans="1:1" x14ac:dyDescent="0.25">
      <c r="A791" s="19" t="s">
        <v>3429</v>
      </c>
    </row>
    <row r="792" spans="1:1" x14ac:dyDescent="0.25">
      <c r="A792" s="19" t="s">
        <v>3430</v>
      </c>
    </row>
    <row r="793" spans="1:1" x14ac:dyDescent="0.25">
      <c r="A793" s="19" t="s">
        <v>3431</v>
      </c>
    </row>
    <row r="794" spans="1:1" x14ac:dyDescent="0.25">
      <c r="A794" s="19" t="s">
        <v>3432</v>
      </c>
    </row>
    <row r="795" spans="1:1" x14ac:dyDescent="0.25">
      <c r="A795" s="19" t="s">
        <v>3433</v>
      </c>
    </row>
    <row r="796" spans="1:1" x14ac:dyDescent="0.25">
      <c r="A796" s="19" t="s">
        <v>3434</v>
      </c>
    </row>
    <row r="797" spans="1:1" x14ac:dyDescent="0.25">
      <c r="A797" s="19" t="s">
        <v>3435</v>
      </c>
    </row>
    <row r="798" spans="1:1" x14ac:dyDescent="0.25">
      <c r="A798" s="19" t="s">
        <v>3436</v>
      </c>
    </row>
    <row r="799" spans="1:1" x14ac:dyDescent="0.25">
      <c r="A799" s="19" t="s">
        <v>3437</v>
      </c>
    </row>
    <row r="800" spans="1:1" x14ac:dyDescent="0.25">
      <c r="A800" s="19" t="s">
        <v>3438</v>
      </c>
    </row>
    <row r="801" spans="1:1" x14ac:dyDescent="0.25">
      <c r="A801" s="19" t="s">
        <v>3439</v>
      </c>
    </row>
    <row r="802" spans="1:1" x14ac:dyDescent="0.25">
      <c r="A802" s="19" t="s">
        <v>3440</v>
      </c>
    </row>
    <row r="803" spans="1:1" x14ac:dyDescent="0.25">
      <c r="A803" s="19" t="s">
        <v>3441</v>
      </c>
    </row>
    <row r="804" spans="1:1" x14ac:dyDescent="0.25">
      <c r="A804" s="19" t="s">
        <v>3442</v>
      </c>
    </row>
    <row r="805" spans="1:1" x14ac:dyDescent="0.25">
      <c r="A805" s="19" t="s">
        <v>3442</v>
      </c>
    </row>
    <row r="806" spans="1:1" x14ac:dyDescent="0.25">
      <c r="A806" s="19" t="s">
        <v>3443</v>
      </c>
    </row>
    <row r="807" spans="1:1" x14ac:dyDescent="0.25">
      <c r="A807" s="19" t="s">
        <v>3444</v>
      </c>
    </row>
    <row r="808" spans="1:1" x14ac:dyDescent="0.25">
      <c r="A808" s="19" t="s">
        <v>3445</v>
      </c>
    </row>
    <row r="809" spans="1:1" x14ac:dyDescent="0.25">
      <c r="A809" s="19" t="s">
        <v>3446</v>
      </c>
    </row>
    <row r="810" spans="1:1" x14ac:dyDescent="0.25">
      <c r="A810" s="19" t="s">
        <v>3447</v>
      </c>
    </row>
    <row r="811" spans="1:1" x14ac:dyDescent="0.25">
      <c r="A811" s="19" t="s">
        <v>3448</v>
      </c>
    </row>
    <row r="812" spans="1:1" x14ac:dyDescent="0.25">
      <c r="A812" s="19" t="s">
        <v>3449</v>
      </c>
    </row>
    <row r="813" spans="1:1" x14ac:dyDescent="0.25">
      <c r="A813" s="19" t="s">
        <v>3450</v>
      </c>
    </row>
    <row r="814" spans="1:1" x14ac:dyDescent="0.25">
      <c r="A814" s="19" t="s">
        <v>3451</v>
      </c>
    </row>
    <row r="815" spans="1:1" x14ac:dyDescent="0.25">
      <c r="A815" s="19" t="s">
        <v>3452</v>
      </c>
    </row>
    <row r="816" spans="1:1" x14ac:dyDescent="0.25">
      <c r="A816" s="19" t="s">
        <v>3453</v>
      </c>
    </row>
    <row r="817" spans="1:1" x14ac:dyDescent="0.25">
      <c r="A817" s="19" t="s">
        <v>3454</v>
      </c>
    </row>
    <row r="818" spans="1:1" x14ac:dyDescent="0.25">
      <c r="A818" s="19" t="s">
        <v>3455</v>
      </c>
    </row>
    <row r="819" spans="1:1" x14ac:dyDescent="0.25">
      <c r="A819" s="19" t="s">
        <v>3456</v>
      </c>
    </row>
    <row r="820" spans="1:1" x14ac:dyDescent="0.25">
      <c r="A820" s="19" t="s">
        <v>3457</v>
      </c>
    </row>
    <row r="821" spans="1:1" x14ac:dyDescent="0.25">
      <c r="A821" s="19" t="s">
        <v>3458</v>
      </c>
    </row>
    <row r="822" spans="1:1" x14ac:dyDescent="0.25">
      <c r="A822" s="19" t="s">
        <v>3459</v>
      </c>
    </row>
    <row r="823" spans="1:1" x14ac:dyDescent="0.25">
      <c r="A823" s="19" t="s">
        <v>3460</v>
      </c>
    </row>
    <row r="824" spans="1:1" x14ac:dyDescent="0.25">
      <c r="A824" s="19" t="s">
        <v>3461</v>
      </c>
    </row>
    <row r="825" spans="1:1" x14ac:dyDescent="0.25">
      <c r="A825" s="19" t="s">
        <v>3462</v>
      </c>
    </row>
    <row r="826" spans="1:1" x14ac:dyDescent="0.25">
      <c r="A826" s="19" t="s">
        <v>3463</v>
      </c>
    </row>
    <row r="827" spans="1:1" x14ac:dyDescent="0.25">
      <c r="A827" s="19" t="s">
        <v>3464</v>
      </c>
    </row>
    <row r="828" spans="1:1" x14ac:dyDescent="0.25">
      <c r="A828" s="19" t="s">
        <v>3465</v>
      </c>
    </row>
    <row r="829" spans="1:1" x14ac:dyDescent="0.25">
      <c r="A829" s="19" t="s">
        <v>3466</v>
      </c>
    </row>
    <row r="830" spans="1:1" x14ac:dyDescent="0.25">
      <c r="A830" s="19" t="s">
        <v>3467</v>
      </c>
    </row>
    <row r="831" spans="1:1" x14ac:dyDescent="0.25">
      <c r="A831" s="19" t="s">
        <v>3468</v>
      </c>
    </row>
    <row r="832" spans="1:1" x14ac:dyDescent="0.25">
      <c r="A832" s="19" t="s">
        <v>3469</v>
      </c>
    </row>
    <row r="833" spans="1:1" x14ac:dyDescent="0.25">
      <c r="A833" s="19" t="s">
        <v>3470</v>
      </c>
    </row>
    <row r="834" spans="1:1" x14ac:dyDescent="0.25">
      <c r="A834" s="19" t="s">
        <v>3471</v>
      </c>
    </row>
    <row r="835" spans="1:1" x14ac:dyDescent="0.25">
      <c r="A835" s="19" t="s">
        <v>3472</v>
      </c>
    </row>
    <row r="836" spans="1:1" x14ac:dyDescent="0.25">
      <c r="A836" s="19" t="s">
        <v>3473</v>
      </c>
    </row>
    <row r="837" spans="1:1" x14ac:dyDescent="0.25">
      <c r="A837" s="19" t="s">
        <v>3474</v>
      </c>
    </row>
    <row r="838" spans="1:1" x14ac:dyDescent="0.25">
      <c r="A838" s="19" t="s">
        <v>3475</v>
      </c>
    </row>
    <row r="839" spans="1:1" x14ac:dyDescent="0.25">
      <c r="A839" s="19" t="s">
        <v>3476</v>
      </c>
    </row>
    <row r="840" spans="1:1" x14ac:dyDescent="0.25">
      <c r="A840" s="19" t="s">
        <v>3477</v>
      </c>
    </row>
    <row r="841" spans="1:1" x14ac:dyDescent="0.25">
      <c r="A841" s="19" t="s">
        <v>3478</v>
      </c>
    </row>
    <row r="842" spans="1:1" x14ac:dyDescent="0.25">
      <c r="A842" s="19" t="s">
        <v>3479</v>
      </c>
    </row>
    <row r="843" spans="1:1" x14ac:dyDescent="0.25">
      <c r="A843" s="19" t="s">
        <v>3480</v>
      </c>
    </row>
    <row r="844" spans="1:1" x14ac:dyDescent="0.25">
      <c r="A844" s="19" t="s">
        <v>3481</v>
      </c>
    </row>
    <row r="845" spans="1:1" x14ac:dyDescent="0.25">
      <c r="A845" s="19" t="s">
        <v>3482</v>
      </c>
    </row>
    <row r="846" spans="1:1" x14ac:dyDescent="0.25">
      <c r="A846" s="19" t="s">
        <v>3483</v>
      </c>
    </row>
    <row r="847" spans="1:1" x14ac:dyDescent="0.25">
      <c r="A847" s="19" t="s">
        <v>3484</v>
      </c>
    </row>
    <row r="848" spans="1:1" x14ac:dyDescent="0.25">
      <c r="A848" s="19" t="s">
        <v>3485</v>
      </c>
    </row>
    <row r="849" spans="1:1" x14ac:dyDescent="0.25">
      <c r="A849" s="19" t="s">
        <v>3486</v>
      </c>
    </row>
    <row r="850" spans="1:1" x14ac:dyDescent="0.25">
      <c r="A850" s="19" t="s">
        <v>3487</v>
      </c>
    </row>
    <row r="851" spans="1:1" x14ac:dyDescent="0.25">
      <c r="A851" s="19" t="s">
        <v>3488</v>
      </c>
    </row>
    <row r="852" spans="1:1" x14ac:dyDescent="0.25">
      <c r="A852" s="19" t="s">
        <v>3489</v>
      </c>
    </row>
    <row r="853" spans="1:1" x14ac:dyDescent="0.25">
      <c r="A853" s="19" t="s">
        <v>3490</v>
      </c>
    </row>
    <row r="854" spans="1:1" x14ac:dyDescent="0.25">
      <c r="A854" s="19" t="s">
        <v>3491</v>
      </c>
    </row>
    <row r="855" spans="1:1" x14ac:dyDescent="0.25">
      <c r="A855" s="19" t="s">
        <v>3492</v>
      </c>
    </row>
    <row r="856" spans="1:1" x14ac:dyDescent="0.25">
      <c r="A856" s="19" t="s">
        <v>3493</v>
      </c>
    </row>
    <row r="857" spans="1:1" x14ac:dyDescent="0.25">
      <c r="A857" s="19" t="s">
        <v>3494</v>
      </c>
    </row>
    <row r="858" spans="1:1" x14ac:dyDescent="0.25">
      <c r="A858" s="19" t="s">
        <v>3495</v>
      </c>
    </row>
    <row r="859" spans="1:1" x14ac:dyDescent="0.25">
      <c r="A859" s="19" t="s">
        <v>3496</v>
      </c>
    </row>
    <row r="860" spans="1:1" x14ac:dyDescent="0.25">
      <c r="A860" s="19" t="s">
        <v>3497</v>
      </c>
    </row>
    <row r="861" spans="1:1" x14ac:dyDescent="0.25">
      <c r="A861" s="19" t="s">
        <v>3498</v>
      </c>
    </row>
    <row r="862" spans="1:1" x14ac:dyDescent="0.25">
      <c r="A862" s="19" t="s">
        <v>3499</v>
      </c>
    </row>
    <row r="863" spans="1:1" x14ac:dyDescent="0.25">
      <c r="A863" s="19" t="s">
        <v>3500</v>
      </c>
    </row>
    <row r="864" spans="1:1" x14ac:dyDescent="0.25">
      <c r="A864" s="19" t="s">
        <v>3501</v>
      </c>
    </row>
    <row r="865" spans="1:1" x14ac:dyDescent="0.25">
      <c r="A865" s="19" t="s">
        <v>3502</v>
      </c>
    </row>
    <row r="866" spans="1:1" x14ac:dyDescent="0.25">
      <c r="A866" s="19" t="s">
        <v>3503</v>
      </c>
    </row>
    <row r="867" spans="1:1" x14ac:dyDescent="0.25">
      <c r="A867" s="19" t="s">
        <v>3504</v>
      </c>
    </row>
    <row r="868" spans="1:1" x14ac:dyDescent="0.25">
      <c r="A868" s="19" t="s">
        <v>3504</v>
      </c>
    </row>
    <row r="869" spans="1:1" x14ac:dyDescent="0.25">
      <c r="A869" s="19" t="s">
        <v>3505</v>
      </c>
    </row>
    <row r="870" spans="1:1" x14ac:dyDescent="0.25">
      <c r="A870" s="19" t="s">
        <v>3506</v>
      </c>
    </row>
    <row r="871" spans="1:1" x14ac:dyDescent="0.25">
      <c r="A871" s="19" t="s">
        <v>3507</v>
      </c>
    </row>
    <row r="872" spans="1:1" x14ac:dyDescent="0.25">
      <c r="A872" s="19" t="s">
        <v>3508</v>
      </c>
    </row>
    <row r="873" spans="1:1" x14ac:dyDescent="0.25">
      <c r="A873" s="19" t="s">
        <v>3509</v>
      </c>
    </row>
    <row r="874" spans="1:1" x14ac:dyDescent="0.25">
      <c r="A874" s="19" t="s">
        <v>3510</v>
      </c>
    </row>
    <row r="875" spans="1:1" x14ac:dyDescent="0.25">
      <c r="A875" s="19" t="s">
        <v>3511</v>
      </c>
    </row>
    <row r="876" spans="1:1" x14ac:dyDescent="0.25">
      <c r="A876" s="19" t="s">
        <v>3512</v>
      </c>
    </row>
    <row r="877" spans="1:1" x14ac:dyDescent="0.25">
      <c r="A877" s="19" t="s">
        <v>3513</v>
      </c>
    </row>
    <row r="878" spans="1:1" x14ac:dyDescent="0.25">
      <c r="A878" s="19" t="s">
        <v>3514</v>
      </c>
    </row>
    <row r="879" spans="1:1" x14ac:dyDescent="0.25">
      <c r="A879" s="19" t="s">
        <v>3515</v>
      </c>
    </row>
    <row r="880" spans="1:1" x14ac:dyDescent="0.25">
      <c r="A880" s="19" t="s">
        <v>3516</v>
      </c>
    </row>
    <row r="881" spans="1:1" x14ac:dyDescent="0.25">
      <c r="A881" s="19" t="s">
        <v>3517</v>
      </c>
    </row>
    <row r="882" spans="1:1" x14ac:dyDescent="0.25">
      <c r="A882" s="19" t="s">
        <v>3518</v>
      </c>
    </row>
    <row r="883" spans="1:1" x14ac:dyDescent="0.25">
      <c r="A883" s="19" t="s">
        <v>3518</v>
      </c>
    </row>
    <row r="884" spans="1:1" x14ac:dyDescent="0.25">
      <c r="A884" s="19" t="s">
        <v>3519</v>
      </c>
    </row>
    <row r="885" spans="1:1" x14ac:dyDescent="0.25">
      <c r="A885" s="19" t="s">
        <v>3520</v>
      </c>
    </row>
    <row r="886" spans="1:1" x14ac:dyDescent="0.25">
      <c r="A886" s="19" t="s">
        <v>3521</v>
      </c>
    </row>
    <row r="887" spans="1:1" x14ac:dyDescent="0.25">
      <c r="A887" s="19" t="s">
        <v>3522</v>
      </c>
    </row>
    <row r="888" spans="1:1" x14ac:dyDescent="0.25">
      <c r="A888" s="19" t="s">
        <v>3523</v>
      </c>
    </row>
    <row r="889" spans="1:1" x14ac:dyDescent="0.25">
      <c r="A889" s="19" t="s">
        <v>3524</v>
      </c>
    </row>
    <row r="890" spans="1:1" x14ac:dyDescent="0.25">
      <c r="A890" s="19" t="s">
        <v>3525</v>
      </c>
    </row>
    <row r="891" spans="1:1" x14ac:dyDescent="0.25">
      <c r="A891" s="19" t="s">
        <v>3526</v>
      </c>
    </row>
    <row r="892" spans="1:1" x14ac:dyDescent="0.25">
      <c r="A892" s="19" t="s">
        <v>3527</v>
      </c>
    </row>
    <row r="893" spans="1:1" x14ac:dyDescent="0.25">
      <c r="A893" s="19" t="s">
        <v>3528</v>
      </c>
    </row>
    <row r="894" spans="1:1" x14ac:dyDescent="0.25">
      <c r="A894" s="19" t="s">
        <v>3529</v>
      </c>
    </row>
    <row r="895" spans="1:1" x14ac:dyDescent="0.25">
      <c r="A895" s="19" t="s">
        <v>3530</v>
      </c>
    </row>
    <row r="896" spans="1:1" x14ac:dyDescent="0.25">
      <c r="A896" s="19" t="s">
        <v>3531</v>
      </c>
    </row>
    <row r="897" spans="1:1" x14ac:dyDescent="0.25">
      <c r="A897" s="19" t="s">
        <v>3532</v>
      </c>
    </row>
    <row r="898" spans="1:1" x14ac:dyDescent="0.25">
      <c r="A898" s="19" t="s">
        <v>3533</v>
      </c>
    </row>
    <row r="899" spans="1:1" x14ac:dyDescent="0.25">
      <c r="A899" s="19" t="s">
        <v>3534</v>
      </c>
    </row>
    <row r="900" spans="1:1" x14ac:dyDescent="0.25">
      <c r="A900" s="19" t="s">
        <v>3535</v>
      </c>
    </row>
    <row r="901" spans="1:1" x14ac:dyDescent="0.25">
      <c r="A901" s="19" t="s">
        <v>3536</v>
      </c>
    </row>
    <row r="902" spans="1:1" x14ac:dyDescent="0.25">
      <c r="A902" s="19" t="s">
        <v>3537</v>
      </c>
    </row>
    <row r="903" spans="1:1" x14ac:dyDescent="0.25">
      <c r="A903" s="19" t="s">
        <v>3538</v>
      </c>
    </row>
    <row r="904" spans="1:1" x14ac:dyDescent="0.25">
      <c r="A904" s="19" t="s">
        <v>3539</v>
      </c>
    </row>
    <row r="905" spans="1:1" x14ac:dyDescent="0.25">
      <c r="A905" s="19" t="s">
        <v>3540</v>
      </c>
    </row>
    <row r="906" spans="1:1" x14ac:dyDescent="0.25">
      <c r="A906" s="19" t="s">
        <v>3541</v>
      </c>
    </row>
    <row r="907" spans="1:1" x14ac:dyDescent="0.25">
      <c r="A907" s="19" t="s">
        <v>3542</v>
      </c>
    </row>
    <row r="908" spans="1:1" x14ac:dyDescent="0.25">
      <c r="A908" s="19" t="s">
        <v>3543</v>
      </c>
    </row>
    <row r="909" spans="1:1" x14ac:dyDescent="0.25">
      <c r="A909" s="19" t="s">
        <v>3544</v>
      </c>
    </row>
    <row r="910" spans="1:1" x14ac:dyDescent="0.25">
      <c r="A910" s="19" t="s">
        <v>3545</v>
      </c>
    </row>
    <row r="911" spans="1:1" x14ac:dyDescent="0.25">
      <c r="A911" s="19" t="s">
        <v>3546</v>
      </c>
    </row>
    <row r="912" spans="1:1" x14ac:dyDescent="0.25">
      <c r="A912" s="19" t="s">
        <v>3547</v>
      </c>
    </row>
    <row r="913" spans="1:1" x14ac:dyDescent="0.25">
      <c r="A913" s="19" t="s">
        <v>3548</v>
      </c>
    </row>
    <row r="914" spans="1:1" x14ac:dyDescent="0.25">
      <c r="A914" s="19" t="s">
        <v>3549</v>
      </c>
    </row>
    <row r="915" spans="1:1" x14ac:dyDescent="0.25">
      <c r="A915" s="19" t="s">
        <v>3550</v>
      </c>
    </row>
    <row r="916" spans="1:1" x14ac:dyDescent="0.25">
      <c r="A916" s="19" t="s">
        <v>3551</v>
      </c>
    </row>
    <row r="917" spans="1:1" x14ac:dyDescent="0.25">
      <c r="A917" s="19" t="s">
        <v>3552</v>
      </c>
    </row>
    <row r="918" spans="1:1" x14ac:dyDescent="0.25">
      <c r="A918" s="19" t="s">
        <v>3553</v>
      </c>
    </row>
    <row r="919" spans="1:1" x14ac:dyDescent="0.25">
      <c r="A919" s="19" t="s">
        <v>3554</v>
      </c>
    </row>
    <row r="920" spans="1:1" x14ac:dyDescent="0.25">
      <c r="A920" s="19" t="s">
        <v>3555</v>
      </c>
    </row>
    <row r="921" spans="1:1" x14ac:dyDescent="0.25">
      <c r="A921" s="19" t="s">
        <v>3556</v>
      </c>
    </row>
    <row r="922" spans="1:1" x14ac:dyDescent="0.25">
      <c r="A922" s="19" t="s">
        <v>3557</v>
      </c>
    </row>
    <row r="923" spans="1:1" x14ac:dyDescent="0.25">
      <c r="A923" s="19" t="s">
        <v>3558</v>
      </c>
    </row>
    <row r="924" spans="1:1" x14ac:dyDescent="0.25">
      <c r="A924" s="19" t="s">
        <v>3559</v>
      </c>
    </row>
    <row r="925" spans="1:1" x14ac:dyDescent="0.25">
      <c r="A925" s="19" t="s">
        <v>3560</v>
      </c>
    </row>
    <row r="926" spans="1:1" x14ac:dyDescent="0.25">
      <c r="A926" s="19" t="s">
        <v>3561</v>
      </c>
    </row>
    <row r="927" spans="1:1" x14ac:dyDescent="0.25">
      <c r="A927" s="19" t="s">
        <v>3562</v>
      </c>
    </row>
    <row r="928" spans="1:1" x14ac:dyDescent="0.25">
      <c r="A928" s="19" t="s">
        <v>3563</v>
      </c>
    </row>
    <row r="929" spans="1:1" x14ac:dyDescent="0.25">
      <c r="A929" s="19" t="s">
        <v>3564</v>
      </c>
    </row>
    <row r="930" spans="1:1" x14ac:dyDescent="0.25">
      <c r="A930" s="19" t="s">
        <v>3565</v>
      </c>
    </row>
    <row r="931" spans="1:1" x14ac:dyDescent="0.25">
      <c r="A931" s="19" t="s">
        <v>3566</v>
      </c>
    </row>
    <row r="932" spans="1:1" x14ac:dyDescent="0.25">
      <c r="A932" s="19" t="s">
        <v>3567</v>
      </c>
    </row>
    <row r="933" spans="1:1" x14ac:dyDescent="0.25">
      <c r="A933" s="19" t="s">
        <v>3568</v>
      </c>
    </row>
    <row r="934" spans="1:1" x14ac:dyDescent="0.25">
      <c r="A934" s="19" t="s">
        <v>3569</v>
      </c>
    </row>
    <row r="935" spans="1:1" x14ac:dyDescent="0.25">
      <c r="A935" s="19" t="s">
        <v>3570</v>
      </c>
    </row>
    <row r="936" spans="1:1" x14ac:dyDescent="0.25">
      <c r="A936" s="19" t="s">
        <v>3571</v>
      </c>
    </row>
    <row r="937" spans="1:1" x14ac:dyDescent="0.25">
      <c r="A937" s="19" t="s">
        <v>3572</v>
      </c>
    </row>
    <row r="938" spans="1:1" x14ac:dyDescent="0.25">
      <c r="A938" s="19" t="s">
        <v>3573</v>
      </c>
    </row>
    <row r="939" spans="1:1" x14ac:dyDescent="0.25">
      <c r="A939" s="19" t="s">
        <v>3574</v>
      </c>
    </row>
    <row r="940" spans="1:1" x14ac:dyDescent="0.25">
      <c r="A940" s="19" t="s">
        <v>3575</v>
      </c>
    </row>
    <row r="941" spans="1:1" x14ac:dyDescent="0.25">
      <c r="A941" s="19" t="s">
        <v>3576</v>
      </c>
    </row>
    <row r="942" spans="1:1" x14ac:dyDescent="0.25">
      <c r="A942" s="19" t="s">
        <v>3577</v>
      </c>
    </row>
    <row r="943" spans="1:1" x14ac:dyDescent="0.25">
      <c r="A943" s="19" t="s">
        <v>3578</v>
      </c>
    </row>
    <row r="944" spans="1:1" x14ac:dyDescent="0.25">
      <c r="A944" s="19" t="s">
        <v>3579</v>
      </c>
    </row>
    <row r="945" spans="1:1" x14ac:dyDescent="0.25">
      <c r="A945" s="19" t="s">
        <v>3580</v>
      </c>
    </row>
    <row r="946" spans="1:1" x14ac:dyDescent="0.25">
      <c r="A946" s="19" t="s">
        <v>3581</v>
      </c>
    </row>
    <row r="947" spans="1:1" x14ac:dyDescent="0.25">
      <c r="A947" s="19" t="s">
        <v>3582</v>
      </c>
    </row>
    <row r="948" spans="1:1" x14ac:dyDescent="0.25">
      <c r="A948" s="19" t="s">
        <v>3583</v>
      </c>
    </row>
    <row r="949" spans="1:1" x14ac:dyDescent="0.25">
      <c r="A949" s="19" t="s">
        <v>3584</v>
      </c>
    </row>
    <row r="950" spans="1:1" x14ac:dyDescent="0.25">
      <c r="A950" s="19" t="s">
        <v>3585</v>
      </c>
    </row>
    <row r="951" spans="1:1" x14ac:dyDescent="0.25">
      <c r="A951" s="19" t="s">
        <v>3586</v>
      </c>
    </row>
    <row r="952" spans="1:1" x14ac:dyDescent="0.25">
      <c r="A952" s="19" t="s">
        <v>3587</v>
      </c>
    </row>
    <row r="953" spans="1:1" x14ac:dyDescent="0.25">
      <c r="A953" s="19" t="s">
        <v>3588</v>
      </c>
    </row>
    <row r="954" spans="1:1" x14ac:dyDescent="0.25">
      <c r="A954" s="19" t="s">
        <v>3589</v>
      </c>
    </row>
    <row r="955" spans="1:1" x14ac:dyDescent="0.25">
      <c r="A955" s="19" t="s">
        <v>3590</v>
      </c>
    </row>
    <row r="956" spans="1:1" x14ac:dyDescent="0.25">
      <c r="A956" s="19" t="s">
        <v>3591</v>
      </c>
    </row>
    <row r="957" spans="1:1" x14ac:dyDescent="0.25">
      <c r="A957" s="19" t="s">
        <v>3592</v>
      </c>
    </row>
    <row r="958" spans="1:1" x14ac:dyDescent="0.25">
      <c r="A958" s="19" t="s">
        <v>3593</v>
      </c>
    </row>
    <row r="959" spans="1:1" x14ac:dyDescent="0.25">
      <c r="A959" s="19" t="s">
        <v>3594</v>
      </c>
    </row>
    <row r="960" spans="1:1" x14ac:dyDescent="0.25">
      <c r="A960" s="19" t="s">
        <v>3595</v>
      </c>
    </row>
    <row r="961" spans="1:1" x14ac:dyDescent="0.25">
      <c r="A961" s="19" t="s">
        <v>3596</v>
      </c>
    </row>
    <row r="962" spans="1:1" x14ac:dyDescent="0.25">
      <c r="A962" s="19" t="s">
        <v>3597</v>
      </c>
    </row>
    <row r="963" spans="1:1" x14ac:dyDescent="0.25">
      <c r="A963" s="19" t="s">
        <v>3598</v>
      </c>
    </row>
    <row r="964" spans="1:1" x14ac:dyDescent="0.25">
      <c r="A964" s="19" t="s">
        <v>3599</v>
      </c>
    </row>
    <row r="965" spans="1:1" x14ac:dyDescent="0.25">
      <c r="A965" s="19" t="s">
        <v>3600</v>
      </c>
    </row>
    <row r="966" spans="1:1" x14ac:dyDescent="0.25">
      <c r="A966" s="19" t="s">
        <v>3601</v>
      </c>
    </row>
    <row r="967" spans="1:1" x14ac:dyDescent="0.25">
      <c r="A967" s="19" t="s">
        <v>3602</v>
      </c>
    </row>
    <row r="968" spans="1:1" x14ac:dyDescent="0.25">
      <c r="A968" s="19" t="s">
        <v>3603</v>
      </c>
    </row>
    <row r="969" spans="1:1" x14ac:dyDescent="0.25">
      <c r="A969" s="19" t="s">
        <v>3604</v>
      </c>
    </row>
    <row r="970" spans="1:1" x14ac:dyDescent="0.25">
      <c r="A970" s="19" t="s">
        <v>3605</v>
      </c>
    </row>
    <row r="971" spans="1:1" x14ac:dyDescent="0.25">
      <c r="A971" s="19" t="s">
        <v>3606</v>
      </c>
    </row>
    <row r="972" spans="1:1" x14ac:dyDescent="0.25">
      <c r="A972" s="19" t="s">
        <v>3607</v>
      </c>
    </row>
    <row r="973" spans="1:1" x14ac:dyDescent="0.25">
      <c r="A973" s="19" t="s">
        <v>3608</v>
      </c>
    </row>
    <row r="974" spans="1:1" x14ac:dyDescent="0.25">
      <c r="A974" s="19" t="s">
        <v>3609</v>
      </c>
    </row>
    <row r="975" spans="1:1" x14ac:dyDescent="0.25">
      <c r="A975" s="19" t="s">
        <v>3610</v>
      </c>
    </row>
    <row r="976" spans="1:1" x14ac:dyDescent="0.25">
      <c r="A976" s="19" t="s">
        <v>3611</v>
      </c>
    </row>
    <row r="977" spans="1:1" x14ac:dyDescent="0.25">
      <c r="A977" s="19" t="s">
        <v>3612</v>
      </c>
    </row>
    <row r="978" spans="1:1" x14ac:dyDescent="0.25">
      <c r="A978" s="19" t="s">
        <v>3613</v>
      </c>
    </row>
    <row r="979" spans="1:1" x14ac:dyDescent="0.25">
      <c r="A979" s="19" t="s">
        <v>3614</v>
      </c>
    </row>
    <row r="980" spans="1:1" x14ac:dyDescent="0.25">
      <c r="A980" s="19" t="s">
        <v>3615</v>
      </c>
    </row>
    <row r="981" spans="1:1" x14ac:dyDescent="0.25">
      <c r="A981" s="19" t="s">
        <v>3616</v>
      </c>
    </row>
    <row r="982" spans="1:1" x14ac:dyDescent="0.25">
      <c r="A982" s="19" t="s">
        <v>3617</v>
      </c>
    </row>
    <row r="983" spans="1:1" x14ac:dyDescent="0.25">
      <c r="A983" s="19" t="s">
        <v>3618</v>
      </c>
    </row>
    <row r="984" spans="1:1" x14ac:dyDescent="0.25">
      <c r="A984" s="19" t="s">
        <v>3619</v>
      </c>
    </row>
    <row r="985" spans="1:1" x14ac:dyDescent="0.25">
      <c r="A985" s="19" t="s">
        <v>3620</v>
      </c>
    </row>
    <row r="986" spans="1:1" x14ac:dyDescent="0.25">
      <c r="A986" s="19" t="s">
        <v>3621</v>
      </c>
    </row>
    <row r="987" spans="1:1" x14ac:dyDescent="0.25">
      <c r="A987" s="19" t="s">
        <v>3622</v>
      </c>
    </row>
    <row r="988" spans="1:1" x14ac:dyDescent="0.25">
      <c r="A988" s="19" t="s">
        <v>3623</v>
      </c>
    </row>
    <row r="989" spans="1:1" x14ac:dyDescent="0.25">
      <c r="A989" s="19" t="s">
        <v>3624</v>
      </c>
    </row>
    <row r="990" spans="1:1" x14ac:dyDescent="0.25">
      <c r="A990" s="19" t="s">
        <v>3625</v>
      </c>
    </row>
    <row r="991" spans="1:1" x14ac:dyDescent="0.25">
      <c r="A991" s="19" t="s">
        <v>3626</v>
      </c>
    </row>
    <row r="992" spans="1:1" x14ac:dyDescent="0.25">
      <c r="A992" s="19" t="s">
        <v>3627</v>
      </c>
    </row>
    <row r="993" spans="1:1" x14ac:dyDescent="0.25">
      <c r="A993" s="19" t="s">
        <v>3628</v>
      </c>
    </row>
    <row r="994" spans="1:1" x14ac:dyDescent="0.25">
      <c r="A994" s="19" t="s">
        <v>3629</v>
      </c>
    </row>
    <row r="995" spans="1:1" x14ac:dyDescent="0.25">
      <c r="A995" s="19" t="s">
        <v>3630</v>
      </c>
    </row>
    <row r="996" spans="1:1" x14ac:dyDescent="0.25">
      <c r="A996" s="19" t="s">
        <v>3631</v>
      </c>
    </row>
    <row r="997" spans="1:1" x14ac:dyDescent="0.25">
      <c r="A997" s="19" t="s">
        <v>3632</v>
      </c>
    </row>
    <row r="998" spans="1:1" x14ac:dyDescent="0.25">
      <c r="A998" s="19" t="s">
        <v>3633</v>
      </c>
    </row>
    <row r="999" spans="1:1" x14ac:dyDescent="0.25">
      <c r="A999" s="19" t="s">
        <v>3634</v>
      </c>
    </row>
    <row r="1000" spans="1:1" x14ac:dyDescent="0.25">
      <c r="A1000" s="19" t="s">
        <v>3635</v>
      </c>
    </row>
    <row r="1001" spans="1:1" x14ac:dyDescent="0.25">
      <c r="A1001" s="19" t="s">
        <v>3636</v>
      </c>
    </row>
    <row r="1002" spans="1:1" x14ac:dyDescent="0.25">
      <c r="A1002" s="19" t="s">
        <v>3637</v>
      </c>
    </row>
    <row r="1003" spans="1:1" x14ac:dyDescent="0.25">
      <c r="A1003" s="19" t="s">
        <v>3638</v>
      </c>
    </row>
    <row r="1004" spans="1:1" x14ac:dyDescent="0.25">
      <c r="A1004" s="19" t="s">
        <v>3639</v>
      </c>
    </row>
    <row r="1005" spans="1:1" x14ac:dyDescent="0.25">
      <c r="A1005" s="19" t="s">
        <v>3640</v>
      </c>
    </row>
    <row r="1006" spans="1:1" x14ac:dyDescent="0.25">
      <c r="A1006" s="19" t="s">
        <v>3641</v>
      </c>
    </row>
    <row r="1007" spans="1:1" x14ac:dyDescent="0.25">
      <c r="A1007" s="19" t="s">
        <v>3642</v>
      </c>
    </row>
    <row r="1008" spans="1:1" x14ac:dyDescent="0.25">
      <c r="A1008" s="19" t="s">
        <v>3643</v>
      </c>
    </row>
    <row r="1009" spans="1:1" x14ac:dyDescent="0.25">
      <c r="A1009" s="19" t="s">
        <v>3644</v>
      </c>
    </row>
    <row r="1010" spans="1:1" x14ac:dyDescent="0.25">
      <c r="A1010" s="19" t="s">
        <v>3645</v>
      </c>
    </row>
    <row r="1011" spans="1:1" x14ac:dyDescent="0.25">
      <c r="A1011" s="19" t="s">
        <v>3646</v>
      </c>
    </row>
    <row r="1012" spans="1:1" x14ac:dyDescent="0.25">
      <c r="A1012" s="19" t="s">
        <v>3647</v>
      </c>
    </row>
    <row r="1013" spans="1:1" x14ac:dyDescent="0.25">
      <c r="A1013" s="19" t="s">
        <v>3648</v>
      </c>
    </row>
    <row r="1014" spans="1:1" x14ac:dyDescent="0.25">
      <c r="A1014" s="19" t="s">
        <v>3649</v>
      </c>
    </row>
    <row r="1015" spans="1:1" x14ac:dyDescent="0.25">
      <c r="A1015" s="19" t="s">
        <v>3650</v>
      </c>
    </row>
    <row r="1016" spans="1:1" x14ac:dyDescent="0.25">
      <c r="A1016" s="19" t="s">
        <v>3651</v>
      </c>
    </row>
    <row r="1017" spans="1:1" x14ac:dyDescent="0.25">
      <c r="A1017" s="19" t="s">
        <v>3652</v>
      </c>
    </row>
    <row r="1018" spans="1:1" x14ac:dyDescent="0.25">
      <c r="A1018" s="19" t="s">
        <v>3653</v>
      </c>
    </row>
    <row r="1019" spans="1:1" x14ac:dyDescent="0.25">
      <c r="A1019" s="19" t="s">
        <v>3654</v>
      </c>
    </row>
    <row r="1020" spans="1:1" x14ac:dyDescent="0.25">
      <c r="A1020" s="19" t="s">
        <v>3655</v>
      </c>
    </row>
    <row r="1021" spans="1:1" x14ac:dyDescent="0.25">
      <c r="A1021" s="19" t="s">
        <v>3656</v>
      </c>
    </row>
    <row r="1022" spans="1:1" x14ac:dyDescent="0.25">
      <c r="A1022" s="19" t="s">
        <v>3657</v>
      </c>
    </row>
    <row r="1023" spans="1:1" x14ac:dyDescent="0.25">
      <c r="A1023" s="19" t="s">
        <v>3658</v>
      </c>
    </row>
    <row r="1024" spans="1:1" x14ac:dyDescent="0.25">
      <c r="A1024" s="19" t="s">
        <v>3659</v>
      </c>
    </row>
    <row r="1025" spans="1:1" x14ac:dyDescent="0.25">
      <c r="A1025" s="19" t="s">
        <v>3660</v>
      </c>
    </row>
    <row r="1026" spans="1:1" x14ac:dyDescent="0.25">
      <c r="A1026" s="19" t="s">
        <v>3661</v>
      </c>
    </row>
    <row r="1027" spans="1:1" x14ac:dyDescent="0.25">
      <c r="A1027" s="19" t="s">
        <v>3662</v>
      </c>
    </row>
    <row r="1028" spans="1:1" x14ac:dyDescent="0.25">
      <c r="A1028" s="19" t="s">
        <v>3663</v>
      </c>
    </row>
    <row r="1029" spans="1:1" x14ac:dyDescent="0.25">
      <c r="A1029" s="19" t="s">
        <v>3664</v>
      </c>
    </row>
    <row r="1030" spans="1:1" x14ac:dyDescent="0.25">
      <c r="A1030" s="19" t="s">
        <v>3665</v>
      </c>
    </row>
    <row r="1031" spans="1:1" x14ac:dyDescent="0.25">
      <c r="A1031" s="19" t="s">
        <v>3666</v>
      </c>
    </row>
    <row r="1032" spans="1:1" x14ac:dyDescent="0.25">
      <c r="A1032" s="19" t="s">
        <v>3667</v>
      </c>
    </row>
    <row r="1033" spans="1:1" x14ac:dyDescent="0.25">
      <c r="A1033" s="19" t="s">
        <v>3668</v>
      </c>
    </row>
    <row r="1034" spans="1:1" x14ac:dyDescent="0.25">
      <c r="A1034" s="19" t="s">
        <v>3669</v>
      </c>
    </row>
    <row r="1035" spans="1:1" x14ac:dyDescent="0.25">
      <c r="A1035" s="19" t="s">
        <v>3670</v>
      </c>
    </row>
    <row r="1036" spans="1:1" x14ac:dyDescent="0.25">
      <c r="A1036" s="19" t="s">
        <v>3671</v>
      </c>
    </row>
    <row r="1037" spans="1:1" x14ac:dyDescent="0.25">
      <c r="A1037" s="19" t="s">
        <v>3671</v>
      </c>
    </row>
    <row r="1038" spans="1:1" x14ac:dyDescent="0.25">
      <c r="A1038" s="19" t="s">
        <v>3672</v>
      </c>
    </row>
    <row r="1039" spans="1:1" x14ac:dyDescent="0.25">
      <c r="A1039" s="19" t="s">
        <v>3673</v>
      </c>
    </row>
    <row r="1040" spans="1:1" x14ac:dyDescent="0.25">
      <c r="A1040" s="19" t="s">
        <v>3674</v>
      </c>
    </row>
    <row r="1041" spans="1:1" x14ac:dyDescent="0.25">
      <c r="A1041" s="19" t="s">
        <v>3675</v>
      </c>
    </row>
    <row r="1042" spans="1:1" x14ac:dyDescent="0.25">
      <c r="A1042" s="19" t="s">
        <v>3676</v>
      </c>
    </row>
    <row r="1043" spans="1:1" x14ac:dyDescent="0.25">
      <c r="A1043" s="19" t="s">
        <v>3677</v>
      </c>
    </row>
    <row r="1044" spans="1:1" x14ac:dyDescent="0.25">
      <c r="A1044" s="19" t="s">
        <v>3678</v>
      </c>
    </row>
    <row r="1045" spans="1:1" x14ac:dyDescent="0.25">
      <c r="A1045" s="19" t="s">
        <v>3679</v>
      </c>
    </row>
    <row r="1046" spans="1:1" x14ac:dyDescent="0.25">
      <c r="A1046" s="19" t="s">
        <v>3680</v>
      </c>
    </row>
    <row r="1047" spans="1:1" x14ac:dyDescent="0.25">
      <c r="A1047" s="19" t="s">
        <v>3681</v>
      </c>
    </row>
    <row r="1048" spans="1:1" x14ac:dyDescent="0.25">
      <c r="A1048" s="19" t="s">
        <v>3682</v>
      </c>
    </row>
    <row r="1049" spans="1:1" x14ac:dyDescent="0.25">
      <c r="A1049" s="19" t="s">
        <v>3683</v>
      </c>
    </row>
    <row r="1050" spans="1:1" x14ac:dyDescent="0.25">
      <c r="A1050" s="19" t="s">
        <v>3684</v>
      </c>
    </row>
    <row r="1051" spans="1:1" x14ac:dyDescent="0.25">
      <c r="A1051" s="19" t="s">
        <v>3685</v>
      </c>
    </row>
    <row r="1052" spans="1:1" x14ac:dyDescent="0.25">
      <c r="A1052" s="19" t="s">
        <v>3686</v>
      </c>
    </row>
    <row r="1053" spans="1:1" x14ac:dyDescent="0.25">
      <c r="A1053" s="19" t="s">
        <v>3687</v>
      </c>
    </row>
    <row r="1054" spans="1:1" x14ac:dyDescent="0.25">
      <c r="A1054" s="19" t="s">
        <v>3688</v>
      </c>
    </row>
    <row r="1055" spans="1:1" x14ac:dyDescent="0.25">
      <c r="A1055" s="19" t="s">
        <v>3689</v>
      </c>
    </row>
    <row r="1056" spans="1:1" x14ac:dyDescent="0.25">
      <c r="A1056" s="19" t="s">
        <v>3690</v>
      </c>
    </row>
    <row r="1057" spans="1:1" x14ac:dyDescent="0.25">
      <c r="A1057" s="19" t="s">
        <v>3691</v>
      </c>
    </row>
    <row r="1058" spans="1:1" x14ac:dyDescent="0.25">
      <c r="A1058" s="19" t="s">
        <v>3691</v>
      </c>
    </row>
    <row r="1059" spans="1:1" x14ac:dyDescent="0.25">
      <c r="A1059" s="19" t="s">
        <v>3692</v>
      </c>
    </row>
    <row r="1060" spans="1:1" x14ac:dyDescent="0.25">
      <c r="A1060" s="19" t="s">
        <v>3693</v>
      </c>
    </row>
    <row r="1061" spans="1:1" x14ac:dyDescent="0.25">
      <c r="A1061" s="19" t="s">
        <v>3694</v>
      </c>
    </row>
    <row r="1062" spans="1:1" x14ac:dyDescent="0.25">
      <c r="A1062" s="19" t="s">
        <v>3695</v>
      </c>
    </row>
    <row r="1063" spans="1:1" x14ac:dyDescent="0.25">
      <c r="A1063" s="19" t="s">
        <v>3696</v>
      </c>
    </row>
    <row r="1064" spans="1:1" x14ac:dyDescent="0.25">
      <c r="A1064" s="19" t="s">
        <v>3697</v>
      </c>
    </row>
    <row r="1065" spans="1:1" x14ac:dyDescent="0.25">
      <c r="A1065" s="19" t="s">
        <v>3698</v>
      </c>
    </row>
    <row r="1066" spans="1:1" x14ac:dyDescent="0.25">
      <c r="A1066" s="19" t="s">
        <v>3699</v>
      </c>
    </row>
    <row r="1067" spans="1:1" x14ac:dyDescent="0.25">
      <c r="A1067" s="19" t="s">
        <v>3700</v>
      </c>
    </row>
    <row r="1068" spans="1:1" x14ac:dyDescent="0.25">
      <c r="A1068" s="19" t="s">
        <v>3701</v>
      </c>
    </row>
    <row r="1069" spans="1:1" x14ac:dyDescent="0.25">
      <c r="A1069" s="19" t="s">
        <v>3702</v>
      </c>
    </row>
    <row r="1070" spans="1:1" x14ac:dyDescent="0.25">
      <c r="A1070" s="19" t="s">
        <v>3703</v>
      </c>
    </row>
    <row r="1071" spans="1:1" x14ac:dyDescent="0.25">
      <c r="A1071" s="19" t="s">
        <v>3704</v>
      </c>
    </row>
    <row r="1072" spans="1:1" x14ac:dyDescent="0.25">
      <c r="A1072" s="19" t="s">
        <v>3705</v>
      </c>
    </row>
    <row r="1073" spans="1:1" x14ac:dyDescent="0.25">
      <c r="A1073" s="19" t="s">
        <v>3706</v>
      </c>
    </row>
    <row r="1074" spans="1:1" x14ac:dyDescent="0.25">
      <c r="A1074" s="19" t="s">
        <v>3707</v>
      </c>
    </row>
    <row r="1075" spans="1:1" x14ac:dyDescent="0.25">
      <c r="A1075" s="19" t="s">
        <v>3708</v>
      </c>
    </row>
    <row r="1076" spans="1:1" x14ac:dyDescent="0.25">
      <c r="A1076" s="19" t="s">
        <v>3709</v>
      </c>
    </row>
    <row r="1077" spans="1:1" x14ac:dyDescent="0.25">
      <c r="A1077" s="19" t="s">
        <v>3710</v>
      </c>
    </row>
    <row r="1078" spans="1:1" x14ac:dyDescent="0.25">
      <c r="A1078" s="19" t="s">
        <v>3711</v>
      </c>
    </row>
    <row r="1079" spans="1:1" x14ac:dyDescent="0.25">
      <c r="A1079" s="19" t="s">
        <v>3712</v>
      </c>
    </row>
    <row r="1080" spans="1:1" x14ac:dyDescent="0.25">
      <c r="A1080" s="19" t="s">
        <v>3713</v>
      </c>
    </row>
    <row r="1081" spans="1:1" x14ac:dyDescent="0.25">
      <c r="A1081" s="19" t="s">
        <v>3714</v>
      </c>
    </row>
    <row r="1082" spans="1:1" x14ac:dyDescent="0.25">
      <c r="A1082" s="19" t="s">
        <v>3715</v>
      </c>
    </row>
    <row r="1083" spans="1:1" x14ac:dyDescent="0.25">
      <c r="A1083" s="19" t="s">
        <v>3716</v>
      </c>
    </row>
    <row r="1084" spans="1:1" x14ac:dyDescent="0.25">
      <c r="A1084" s="19" t="s">
        <v>3717</v>
      </c>
    </row>
    <row r="1085" spans="1:1" x14ac:dyDescent="0.25">
      <c r="A1085" s="19" t="s">
        <v>3718</v>
      </c>
    </row>
    <row r="1086" spans="1:1" x14ac:dyDescent="0.25">
      <c r="A1086" s="19" t="s">
        <v>3719</v>
      </c>
    </row>
    <row r="1087" spans="1:1" x14ac:dyDescent="0.25">
      <c r="A1087" s="19" t="s">
        <v>3720</v>
      </c>
    </row>
    <row r="1088" spans="1:1" x14ac:dyDescent="0.25">
      <c r="A1088" s="19" t="s">
        <v>3721</v>
      </c>
    </row>
    <row r="1089" spans="1:1" x14ac:dyDescent="0.25">
      <c r="A1089" s="19" t="s">
        <v>3722</v>
      </c>
    </row>
    <row r="1090" spans="1:1" x14ac:dyDescent="0.25">
      <c r="A1090" s="19" t="s">
        <v>3723</v>
      </c>
    </row>
    <row r="1091" spans="1:1" x14ac:dyDescent="0.25">
      <c r="A1091" s="19" t="s">
        <v>3724</v>
      </c>
    </row>
    <row r="1092" spans="1:1" x14ac:dyDescent="0.25">
      <c r="A1092" s="19" t="s">
        <v>3725</v>
      </c>
    </row>
    <row r="1093" spans="1:1" x14ac:dyDescent="0.25">
      <c r="A1093" s="19" t="s">
        <v>3726</v>
      </c>
    </row>
    <row r="1094" spans="1:1" x14ac:dyDescent="0.25">
      <c r="A1094" s="19" t="s">
        <v>3727</v>
      </c>
    </row>
    <row r="1095" spans="1:1" x14ac:dyDescent="0.25">
      <c r="A1095" s="19" t="s">
        <v>3728</v>
      </c>
    </row>
    <row r="1096" spans="1:1" x14ac:dyDescent="0.25">
      <c r="A1096" s="19" t="s">
        <v>3729</v>
      </c>
    </row>
    <row r="1097" spans="1:1" x14ac:dyDescent="0.25">
      <c r="A1097" s="19" t="s">
        <v>3730</v>
      </c>
    </row>
    <row r="1098" spans="1:1" x14ac:dyDescent="0.25">
      <c r="A1098" s="19" t="s">
        <v>3731</v>
      </c>
    </row>
    <row r="1099" spans="1:1" x14ac:dyDescent="0.25">
      <c r="A1099" s="19" t="s">
        <v>3732</v>
      </c>
    </row>
    <row r="1100" spans="1:1" x14ac:dyDescent="0.25">
      <c r="A1100" s="19" t="s">
        <v>3733</v>
      </c>
    </row>
    <row r="1101" spans="1:1" x14ac:dyDescent="0.25">
      <c r="A1101" s="19" t="s">
        <v>3734</v>
      </c>
    </row>
    <row r="1102" spans="1:1" x14ac:dyDescent="0.25">
      <c r="A1102" s="19" t="s">
        <v>3735</v>
      </c>
    </row>
    <row r="1103" spans="1:1" x14ac:dyDescent="0.25">
      <c r="A1103" s="19" t="s">
        <v>3736</v>
      </c>
    </row>
    <row r="1104" spans="1:1" x14ac:dyDescent="0.25">
      <c r="A1104" s="19" t="s">
        <v>3737</v>
      </c>
    </row>
    <row r="1105" spans="1:1" x14ac:dyDescent="0.25">
      <c r="A1105" s="19" t="s">
        <v>3738</v>
      </c>
    </row>
    <row r="1106" spans="1:1" x14ac:dyDescent="0.25">
      <c r="A1106" s="19" t="s">
        <v>3739</v>
      </c>
    </row>
    <row r="1107" spans="1:1" x14ac:dyDescent="0.25">
      <c r="A1107" s="19" t="s">
        <v>3740</v>
      </c>
    </row>
    <row r="1108" spans="1:1" x14ac:dyDescent="0.25">
      <c r="A1108" s="19" t="s">
        <v>3741</v>
      </c>
    </row>
    <row r="1109" spans="1:1" x14ac:dyDescent="0.25">
      <c r="A1109" s="19" t="s">
        <v>3742</v>
      </c>
    </row>
    <row r="1110" spans="1:1" x14ac:dyDescent="0.25">
      <c r="A1110" s="19" t="s">
        <v>3743</v>
      </c>
    </row>
    <row r="1111" spans="1:1" x14ac:dyDescent="0.25">
      <c r="A1111" s="19" t="s">
        <v>3744</v>
      </c>
    </row>
    <row r="1112" spans="1:1" x14ac:dyDescent="0.25">
      <c r="A1112" s="19" t="s">
        <v>3745</v>
      </c>
    </row>
    <row r="1113" spans="1:1" x14ac:dyDescent="0.25">
      <c r="A1113" s="19" t="s">
        <v>3746</v>
      </c>
    </row>
    <row r="1114" spans="1:1" x14ac:dyDescent="0.25">
      <c r="A1114" s="19" t="s">
        <v>3747</v>
      </c>
    </row>
    <row r="1115" spans="1:1" x14ac:dyDescent="0.25">
      <c r="A1115" s="19" t="s">
        <v>3748</v>
      </c>
    </row>
    <row r="1116" spans="1:1" x14ac:dyDescent="0.25">
      <c r="A1116" s="19" t="s">
        <v>3749</v>
      </c>
    </row>
    <row r="1117" spans="1:1" x14ac:dyDescent="0.25">
      <c r="A1117" s="19" t="s">
        <v>3750</v>
      </c>
    </row>
    <row r="1118" spans="1:1" x14ac:dyDescent="0.25">
      <c r="A1118" s="19" t="s">
        <v>3751</v>
      </c>
    </row>
    <row r="1119" spans="1:1" x14ac:dyDescent="0.25">
      <c r="A1119" s="19" t="s">
        <v>3752</v>
      </c>
    </row>
    <row r="1120" spans="1:1" x14ac:dyDescent="0.25">
      <c r="A1120" s="19" t="s">
        <v>3753</v>
      </c>
    </row>
    <row r="1121" spans="1:1" x14ac:dyDescent="0.25">
      <c r="A1121" s="19" t="s">
        <v>3754</v>
      </c>
    </row>
    <row r="1122" spans="1:1" x14ac:dyDescent="0.25">
      <c r="A1122" s="19" t="s">
        <v>3755</v>
      </c>
    </row>
    <row r="1123" spans="1:1" x14ac:dyDescent="0.25">
      <c r="A1123" s="19" t="s">
        <v>3755</v>
      </c>
    </row>
    <row r="1124" spans="1:1" x14ac:dyDescent="0.25">
      <c r="A1124" s="19" t="s">
        <v>3756</v>
      </c>
    </row>
    <row r="1125" spans="1:1" x14ac:dyDescent="0.25">
      <c r="A1125" s="19" t="s">
        <v>3757</v>
      </c>
    </row>
    <row r="1126" spans="1:1" x14ac:dyDescent="0.25">
      <c r="A1126" s="19" t="s">
        <v>3758</v>
      </c>
    </row>
    <row r="1127" spans="1:1" x14ac:dyDescent="0.25">
      <c r="A1127" s="19" t="s">
        <v>3759</v>
      </c>
    </row>
    <row r="1128" spans="1:1" x14ac:dyDescent="0.25">
      <c r="A1128" s="19" t="s">
        <v>3760</v>
      </c>
    </row>
    <row r="1129" spans="1:1" x14ac:dyDescent="0.25">
      <c r="A1129" s="19" t="s">
        <v>3761</v>
      </c>
    </row>
    <row r="1130" spans="1:1" x14ac:dyDescent="0.25">
      <c r="A1130" s="19" t="s">
        <v>3762</v>
      </c>
    </row>
    <row r="1131" spans="1:1" x14ac:dyDescent="0.25">
      <c r="A1131" s="19" t="s">
        <v>3763</v>
      </c>
    </row>
    <row r="1132" spans="1:1" x14ac:dyDescent="0.25">
      <c r="A1132" s="19" t="s">
        <v>3764</v>
      </c>
    </row>
    <row r="1133" spans="1:1" x14ac:dyDescent="0.25">
      <c r="A1133" s="19" t="s">
        <v>3765</v>
      </c>
    </row>
    <row r="1134" spans="1:1" x14ac:dyDescent="0.25">
      <c r="A1134" s="19" t="s">
        <v>3766</v>
      </c>
    </row>
    <row r="1135" spans="1:1" x14ac:dyDescent="0.25">
      <c r="A1135" s="19" t="s">
        <v>3767</v>
      </c>
    </row>
    <row r="1136" spans="1:1" x14ac:dyDescent="0.25">
      <c r="A1136" s="19" t="s">
        <v>3768</v>
      </c>
    </row>
    <row r="1137" spans="1:1" x14ac:dyDescent="0.25">
      <c r="A1137" s="19" t="s">
        <v>3769</v>
      </c>
    </row>
    <row r="1138" spans="1:1" x14ac:dyDescent="0.25">
      <c r="A1138" s="19" t="s">
        <v>3770</v>
      </c>
    </row>
    <row r="1139" spans="1:1" x14ac:dyDescent="0.25">
      <c r="A1139" s="19" t="s">
        <v>3771</v>
      </c>
    </row>
    <row r="1140" spans="1:1" x14ac:dyDescent="0.25">
      <c r="A1140" s="19" t="s">
        <v>3772</v>
      </c>
    </row>
    <row r="1141" spans="1:1" x14ac:dyDescent="0.25">
      <c r="A1141" s="19" t="s">
        <v>3773</v>
      </c>
    </row>
    <row r="1142" spans="1:1" x14ac:dyDescent="0.25">
      <c r="A1142" s="19" t="s">
        <v>3774</v>
      </c>
    </row>
    <row r="1143" spans="1:1" x14ac:dyDescent="0.25">
      <c r="A1143" s="19" t="s">
        <v>3775</v>
      </c>
    </row>
    <row r="1144" spans="1:1" x14ac:dyDescent="0.25">
      <c r="A1144" s="19" t="s">
        <v>3776</v>
      </c>
    </row>
    <row r="1145" spans="1:1" x14ac:dyDescent="0.25">
      <c r="A1145" s="19" t="s">
        <v>3777</v>
      </c>
    </row>
    <row r="1146" spans="1:1" x14ac:dyDescent="0.25">
      <c r="A1146" s="19" t="s">
        <v>3778</v>
      </c>
    </row>
    <row r="1147" spans="1:1" x14ac:dyDescent="0.25">
      <c r="A1147" s="19" t="s">
        <v>3779</v>
      </c>
    </row>
    <row r="1148" spans="1:1" x14ac:dyDescent="0.25">
      <c r="A1148" s="19" t="s">
        <v>3780</v>
      </c>
    </row>
    <row r="1149" spans="1:1" x14ac:dyDescent="0.25">
      <c r="A1149" s="19" t="s">
        <v>3781</v>
      </c>
    </row>
    <row r="1150" spans="1:1" x14ac:dyDescent="0.25">
      <c r="A1150" s="19" t="s">
        <v>3782</v>
      </c>
    </row>
    <row r="1151" spans="1:1" x14ac:dyDescent="0.25">
      <c r="A1151" s="19" t="s">
        <v>3783</v>
      </c>
    </row>
    <row r="1152" spans="1:1" x14ac:dyDescent="0.25">
      <c r="A1152" s="19" t="s">
        <v>3784</v>
      </c>
    </row>
    <row r="1153" spans="1:1" x14ac:dyDescent="0.25">
      <c r="A1153" s="19" t="s">
        <v>3785</v>
      </c>
    </row>
    <row r="1154" spans="1:1" x14ac:dyDescent="0.25">
      <c r="A1154" s="19" t="s">
        <v>3786</v>
      </c>
    </row>
    <row r="1155" spans="1:1" x14ac:dyDescent="0.25">
      <c r="A1155" s="19" t="s">
        <v>3787</v>
      </c>
    </row>
    <row r="1156" spans="1:1" x14ac:dyDescent="0.25">
      <c r="A1156" s="19" t="s">
        <v>3788</v>
      </c>
    </row>
    <row r="1157" spans="1:1" x14ac:dyDescent="0.25">
      <c r="A1157" s="19" t="s">
        <v>3789</v>
      </c>
    </row>
    <row r="1158" spans="1:1" x14ac:dyDescent="0.25">
      <c r="A1158" s="19" t="s">
        <v>3790</v>
      </c>
    </row>
    <row r="1159" spans="1:1" x14ac:dyDescent="0.25">
      <c r="A1159" s="19" t="s">
        <v>3791</v>
      </c>
    </row>
    <row r="1160" spans="1:1" x14ac:dyDescent="0.25">
      <c r="A1160" s="19" t="s">
        <v>3792</v>
      </c>
    </row>
    <row r="1161" spans="1:1" x14ac:dyDescent="0.25">
      <c r="A1161" s="19" t="s">
        <v>3793</v>
      </c>
    </row>
    <row r="1162" spans="1:1" x14ac:dyDescent="0.25">
      <c r="A1162" s="19" t="s">
        <v>3794</v>
      </c>
    </row>
    <row r="1163" spans="1:1" x14ac:dyDescent="0.25">
      <c r="A1163" s="19" t="s">
        <v>3795</v>
      </c>
    </row>
    <row r="1164" spans="1:1" x14ac:dyDescent="0.25">
      <c r="A1164" s="19" t="s">
        <v>3796</v>
      </c>
    </row>
    <row r="1165" spans="1:1" x14ac:dyDescent="0.25">
      <c r="A1165" s="19" t="s">
        <v>3797</v>
      </c>
    </row>
    <row r="1166" spans="1:1" x14ac:dyDescent="0.25">
      <c r="A1166" s="19" t="s">
        <v>3798</v>
      </c>
    </row>
    <row r="1167" spans="1:1" x14ac:dyDescent="0.25">
      <c r="A1167" s="19" t="s">
        <v>3799</v>
      </c>
    </row>
    <row r="1168" spans="1:1" x14ac:dyDescent="0.25">
      <c r="A1168" s="19" t="s">
        <v>3800</v>
      </c>
    </row>
    <row r="1169" spans="1:1" x14ac:dyDescent="0.25">
      <c r="A1169" s="19" t="s">
        <v>3801</v>
      </c>
    </row>
    <row r="1170" spans="1:1" x14ac:dyDescent="0.25">
      <c r="A1170" s="19" t="s">
        <v>3802</v>
      </c>
    </row>
    <row r="1171" spans="1:1" x14ac:dyDescent="0.25">
      <c r="A1171" s="19" t="s">
        <v>3803</v>
      </c>
    </row>
    <row r="1172" spans="1:1" x14ac:dyDescent="0.25">
      <c r="A1172" s="19" t="s">
        <v>3804</v>
      </c>
    </row>
    <row r="1173" spans="1:1" x14ac:dyDescent="0.25">
      <c r="A1173" s="19" t="s">
        <v>3805</v>
      </c>
    </row>
    <row r="1174" spans="1:1" x14ac:dyDescent="0.25">
      <c r="A1174" s="19" t="s">
        <v>3806</v>
      </c>
    </row>
    <row r="1175" spans="1:1" x14ac:dyDescent="0.25">
      <c r="A1175" s="19" t="s">
        <v>3807</v>
      </c>
    </row>
    <row r="1176" spans="1:1" x14ac:dyDescent="0.25">
      <c r="A1176" s="19" t="s">
        <v>3808</v>
      </c>
    </row>
    <row r="1177" spans="1:1" x14ac:dyDescent="0.25">
      <c r="A1177" s="19" t="s">
        <v>3809</v>
      </c>
    </row>
    <row r="1178" spans="1:1" x14ac:dyDescent="0.25">
      <c r="A1178" s="19" t="s">
        <v>3810</v>
      </c>
    </row>
    <row r="1179" spans="1:1" x14ac:dyDescent="0.25">
      <c r="A1179" s="19" t="s">
        <v>3811</v>
      </c>
    </row>
    <row r="1180" spans="1:1" x14ac:dyDescent="0.25">
      <c r="A1180" s="19" t="s">
        <v>3812</v>
      </c>
    </row>
    <row r="1181" spans="1:1" x14ac:dyDescent="0.25">
      <c r="A1181" s="19" t="s">
        <v>3813</v>
      </c>
    </row>
    <row r="1182" spans="1:1" x14ac:dyDescent="0.25">
      <c r="A1182" s="19" t="s">
        <v>3814</v>
      </c>
    </row>
    <row r="1183" spans="1:1" x14ac:dyDescent="0.25">
      <c r="A1183" s="19" t="s">
        <v>3815</v>
      </c>
    </row>
    <row r="1184" spans="1:1" x14ac:dyDescent="0.25">
      <c r="A1184" s="19" t="s">
        <v>3816</v>
      </c>
    </row>
    <row r="1185" spans="1:1" x14ac:dyDescent="0.25">
      <c r="A1185" s="19" t="s">
        <v>3817</v>
      </c>
    </row>
    <row r="1186" spans="1:1" x14ac:dyDescent="0.25">
      <c r="A1186" s="19" t="s">
        <v>3818</v>
      </c>
    </row>
    <row r="1187" spans="1:1" x14ac:dyDescent="0.25">
      <c r="A1187" s="19" t="s">
        <v>3819</v>
      </c>
    </row>
    <row r="1188" spans="1:1" x14ac:dyDescent="0.25">
      <c r="A1188" s="19" t="s">
        <v>3820</v>
      </c>
    </row>
    <row r="1189" spans="1:1" x14ac:dyDescent="0.25">
      <c r="A1189" s="19" t="s">
        <v>3821</v>
      </c>
    </row>
    <row r="1190" spans="1:1" x14ac:dyDescent="0.25">
      <c r="A1190" s="19" t="s">
        <v>3822</v>
      </c>
    </row>
    <row r="1191" spans="1:1" x14ac:dyDescent="0.25">
      <c r="A1191" s="19" t="s">
        <v>3823</v>
      </c>
    </row>
    <row r="1192" spans="1:1" x14ac:dyDescent="0.25">
      <c r="A1192" s="19" t="s">
        <v>3824</v>
      </c>
    </row>
    <row r="1193" spans="1:1" x14ac:dyDescent="0.25">
      <c r="A1193" s="19" t="s">
        <v>3825</v>
      </c>
    </row>
    <row r="1194" spans="1:1" x14ac:dyDescent="0.25">
      <c r="A1194" s="19" t="s">
        <v>3826</v>
      </c>
    </row>
    <row r="1195" spans="1:1" x14ac:dyDescent="0.25">
      <c r="A1195" s="19" t="s">
        <v>3827</v>
      </c>
    </row>
    <row r="1196" spans="1:1" x14ac:dyDescent="0.25">
      <c r="A1196" s="19" t="s">
        <v>3828</v>
      </c>
    </row>
    <row r="1197" spans="1:1" x14ac:dyDescent="0.25">
      <c r="A1197" s="19" t="s">
        <v>3829</v>
      </c>
    </row>
    <row r="1198" spans="1:1" x14ac:dyDescent="0.25">
      <c r="A1198" s="19" t="s">
        <v>3830</v>
      </c>
    </row>
    <row r="1199" spans="1:1" x14ac:dyDescent="0.25">
      <c r="A1199" s="19" t="s">
        <v>3831</v>
      </c>
    </row>
    <row r="1200" spans="1:1" x14ac:dyDescent="0.25">
      <c r="A1200" s="19" t="s">
        <v>3832</v>
      </c>
    </row>
    <row r="1201" spans="1:1" x14ac:dyDescent="0.25">
      <c r="A1201" s="19" t="s">
        <v>3833</v>
      </c>
    </row>
    <row r="1202" spans="1:1" x14ac:dyDescent="0.25">
      <c r="A1202" s="19" t="s">
        <v>3834</v>
      </c>
    </row>
    <row r="1203" spans="1:1" x14ac:dyDescent="0.25">
      <c r="A1203" s="19" t="s">
        <v>3835</v>
      </c>
    </row>
    <row r="1204" spans="1:1" x14ac:dyDescent="0.25">
      <c r="A1204" s="19" t="s">
        <v>3836</v>
      </c>
    </row>
    <row r="1205" spans="1:1" x14ac:dyDescent="0.25">
      <c r="A1205" s="19" t="s">
        <v>3837</v>
      </c>
    </row>
    <row r="1206" spans="1:1" x14ac:dyDescent="0.25">
      <c r="A1206" s="19" t="s">
        <v>3838</v>
      </c>
    </row>
    <row r="1207" spans="1:1" x14ac:dyDescent="0.25">
      <c r="A1207" s="19" t="s">
        <v>3839</v>
      </c>
    </row>
    <row r="1208" spans="1:1" x14ac:dyDescent="0.25">
      <c r="A1208" s="19" t="s">
        <v>3840</v>
      </c>
    </row>
    <row r="1209" spans="1:1" x14ac:dyDescent="0.25">
      <c r="A1209" s="19" t="s">
        <v>3841</v>
      </c>
    </row>
    <row r="1210" spans="1:1" x14ac:dyDescent="0.25">
      <c r="A1210" s="19" t="s">
        <v>3842</v>
      </c>
    </row>
    <row r="1211" spans="1:1" x14ac:dyDescent="0.25">
      <c r="A1211" s="19" t="s">
        <v>3843</v>
      </c>
    </row>
    <row r="1212" spans="1:1" x14ac:dyDescent="0.25">
      <c r="A1212" s="19" t="s">
        <v>3844</v>
      </c>
    </row>
    <row r="1213" spans="1:1" x14ac:dyDescent="0.25">
      <c r="A1213" s="19" t="s">
        <v>3845</v>
      </c>
    </row>
    <row r="1214" spans="1:1" x14ac:dyDescent="0.25">
      <c r="A1214" s="19" t="s">
        <v>3846</v>
      </c>
    </row>
    <row r="1215" spans="1:1" x14ac:dyDescent="0.25">
      <c r="A1215" s="19" t="s">
        <v>3847</v>
      </c>
    </row>
    <row r="1216" spans="1:1" x14ac:dyDescent="0.25">
      <c r="A1216" s="19" t="s">
        <v>3848</v>
      </c>
    </row>
    <row r="1217" spans="1:1" x14ac:dyDescent="0.25">
      <c r="A1217" s="19" t="s">
        <v>3849</v>
      </c>
    </row>
    <row r="1218" spans="1:1" x14ac:dyDescent="0.25">
      <c r="A1218" s="19" t="s">
        <v>3850</v>
      </c>
    </row>
    <row r="1219" spans="1:1" x14ac:dyDescent="0.25">
      <c r="A1219" s="19" t="s">
        <v>3850</v>
      </c>
    </row>
    <row r="1220" spans="1:1" x14ac:dyDescent="0.25">
      <c r="A1220" s="19" t="s">
        <v>3851</v>
      </c>
    </row>
    <row r="1221" spans="1:1" x14ac:dyDescent="0.25">
      <c r="A1221" s="19" t="s">
        <v>3852</v>
      </c>
    </row>
    <row r="1222" spans="1:1" x14ac:dyDescent="0.25">
      <c r="A1222" s="19" t="s">
        <v>3853</v>
      </c>
    </row>
    <row r="1223" spans="1:1" x14ac:dyDescent="0.25">
      <c r="A1223" s="19" t="s">
        <v>3854</v>
      </c>
    </row>
    <row r="1224" spans="1:1" x14ac:dyDescent="0.25">
      <c r="A1224" s="19" t="s">
        <v>3855</v>
      </c>
    </row>
    <row r="1225" spans="1:1" x14ac:dyDescent="0.25">
      <c r="A1225" s="19" t="s">
        <v>3856</v>
      </c>
    </row>
    <row r="1226" spans="1:1" x14ac:dyDescent="0.25">
      <c r="A1226" s="19" t="s">
        <v>3857</v>
      </c>
    </row>
    <row r="1227" spans="1:1" x14ac:dyDescent="0.25">
      <c r="A1227" s="19" t="s">
        <v>3858</v>
      </c>
    </row>
    <row r="1228" spans="1:1" x14ac:dyDescent="0.25">
      <c r="A1228" s="19" t="s">
        <v>3859</v>
      </c>
    </row>
    <row r="1229" spans="1:1" x14ac:dyDescent="0.25">
      <c r="A1229" s="19" t="s">
        <v>3860</v>
      </c>
    </row>
    <row r="1230" spans="1:1" x14ac:dyDescent="0.25">
      <c r="A1230" s="19" t="s">
        <v>3861</v>
      </c>
    </row>
    <row r="1231" spans="1:1" x14ac:dyDescent="0.25">
      <c r="A1231" s="19" t="s">
        <v>3862</v>
      </c>
    </row>
    <row r="1232" spans="1:1" x14ac:dyDescent="0.25">
      <c r="A1232" s="19" t="s">
        <v>3863</v>
      </c>
    </row>
    <row r="1233" spans="1:1" x14ac:dyDescent="0.25">
      <c r="A1233" s="19" t="s">
        <v>3864</v>
      </c>
    </row>
    <row r="1234" spans="1:1" x14ac:dyDescent="0.25">
      <c r="A1234" s="19" t="s">
        <v>3865</v>
      </c>
    </row>
    <row r="1235" spans="1:1" x14ac:dyDescent="0.25">
      <c r="A1235" s="19" t="s">
        <v>3866</v>
      </c>
    </row>
    <row r="1236" spans="1:1" x14ac:dyDescent="0.25">
      <c r="A1236" s="19" t="s">
        <v>3867</v>
      </c>
    </row>
    <row r="1237" spans="1:1" x14ac:dyDescent="0.25">
      <c r="A1237" s="19" t="s">
        <v>3868</v>
      </c>
    </row>
    <row r="1238" spans="1:1" x14ac:dyDescent="0.25">
      <c r="A1238" s="19" t="s">
        <v>3869</v>
      </c>
    </row>
    <row r="1239" spans="1:1" x14ac:dyDescent="0.25">
      <c r="A1239" s="19" t="s">
        <v>3870</v>
      </c>
    </row>
    <row r="1240" spans="1:1" x14ac:dyDescent="0.25">
      <c r="A1240" s="19" t="s">
        <v>3871</v>
      </c>
    </row>
    <row r="1241" spans="1:1" x14ac:dyDescent="0.25">
      <c r="A1241" s="19" t="s">
        <v>3872</v>
      </c>
    </row>
    <row r="1242" spans="1:1" x14ac:dyDescent="0.25">
      <c r="A1242" s="19" t="s">
        <v>3873</v>
      </c>
    </row>
    <row r="1243" spans="1:1" x14ac:dyDescent="0.25">
      <c r="A1243" s="19" t="s">
        <v>3874</v>
      </c>
    </row>
    <row r="1244" spans="1:1" x14ac:dyDescent="0.25">
      <c r="A1244" s="19" t="s">
        <v>3875</v>
      </c>
    </row>
    <row r="1245" spans="1:1" x14ac:dyDescent="0.25">
      <c r="A1245" s="19" t="s">
        <v>3876</v>
      </c>
    </row>
    <row r="1246" spans="1:1" x14ac:dyDescent="0.25">
      <c r="A1246" s="19" t="s">
        <v>3877</v>
      </c>
    </row>
    <row r="1247" spans="1:1" x14ac:dyDescent="0.25">
      <c r="A1247" s="19" t="s">
        <v>3878</v>
      </c>
    </row>
    <row r="1248" spans="1:1" x14ac:dyDescent="0.25">
      <c r="A1248" s="19" t="s">
        <v>3879</v>
      </c>
    </row>
    <row r="1249" spans="1:1" x14ac:dyDescent="0.25">
      <c r="A1249" s="19" t="s">
        <v>3880</v>
      </c>
    </row>
    <row r="1250" spans="1:1" x14ac:dyDescent="0.25">
      <c r="A1250" s="19" t="s">
        <v>3881</v>
      </c>
    </row>
    <row r="1251" spans="1:1" x14ac:dyDescent="0.25">
      <c r="A1251" s="19" t="s">
        <v>3882</v>
      </c>
    </row>
    <row r="1252" spans="1:1" x14ac:dyDescent="0.25">
      <c r="A1252" s="19" t="s">
        <v>3883</v>
      </c>
    </row>
    <row r="1253" spans="1:1" x14ac:dyDescent="0.25">
      <c r="A1253" s="19" t="s">
        <v>3884</v>
      </c>
    </row>
    <row r="1254" spans="1:1" x14ac:dyDescent="0.25">
      <c r="A1254" s="19" t="s">
        <v>3885</v>
      </c>
    </row>
    <row r="1255" spans="1:1" x14ac:dyDescent="0.25">
      <c r="A1255" s="19" t="s">
        <v>3886</v>
      </c>
    </row>
    <row r="1256" spans="1:1" x14ac:dyDescent="0.25">
      <c r="A1256" s="19" t="s">
        <v>3887</v>
      </c>
    </row>
    <row r="1257" spans="1:1" x14ac:dyDescent="0.25">
      <c r="A1257" s="19" t="s">
        <v>3888</v>
      </c>
    </row>
    <row r="1258" spans="1:1" x14ac:dyDescent="0.25">
      <c r="A1258" s="19" t="s">
        <v>3889</v>
      </c>
    </row>
    <row r="1259" spans="1:1" x14ac:dyDescent="0.25">
      <c r="A1259" s="19" t="s">
        <v>3890</v>
      </c>
    </row>
    <row r="1260" spans="1:1" x14ac:dyDescent="0.25">
      <c r="A1260" s="19" t="s">
        <v>3891</v>
      </c>
    </row>
    <row r="1261" spans="1:1" x14ac:dyDescent="0.25">
      <c r="A1261" s="19" t="s">
        <v>3892</v>
      </c>
    </row>
    <row r="1262" spans="1:1" x14ac:dyDescent="0.25">
      <c r="A1262" s="19" t="s">
        <v>3893</v>
      </c>
    </row>
    <row r="1263" spans="1:1" x14ac:dyDescent="0.25">
      <c r="A1263" s="19" t="s">
        <v>3894</v>
      </c>
    </row>
    <row r="1264" spans="1:1" x14ac:dyDescent="0.25">
      <c r="A1264" s="19" t="s">
        <v>3895</v>
      </c>
    </row>
    <row r="1265" spans="1:1" x14ac:dyDescent="0.25">
      <c r="A1265" s="19" t="s">
        <v>3896</v>
      </c>
    </row>
    <row r="1266" spans="1:1" x14ac:dyDescent="0.25">
      <c r="A1266" s="19" t="s">
        <v>3897</v>
      </c>
    </row>
    <row r="1267" spans="1:1" x14ac:dyDescent="0.25">
      <c r="A1267" s="19" t="s">
        <v>3898</v>
      </c>
    </row>
    <row r="1268" spans="1:1" x14ac:dyDescent="0.25">
      <c r="A1268" s="19" t="s">
        <v>3899</v>
      </c>
    </row>
    <row r="1269" spans="1:1" x14ac:dyDescent="0.25">
      <c r="A1269" s="19" t="s">
        <v>3900</v>
      </c>
    </row>
    <row r="1270" spans="1:1" x14ac:dyDescent="0.25">
      <c r="A1270" s="19" t="s">
        <v>3901</v>
      </c>
    </row>
    <row r="1271" spans="1:1" x14ac:dyDescent="0.25">
      <c r="A1271" s="19" t="s">
        <v>3902</v>
      </c>
    </row>
    <row r="1272" spans="1:1" x14ac:dyDescent="0.25">
      <c r="A1272" s="19" t="s">
        <v>3903</v>
      </c>
    </row>
    <row r="1273" spans="1:1" x14ac:dyDescent="0.25">
      <c r="A1273" s="19" t="s">
        <v>3904</v>
      </c>
    </row>
    <row r="1274" spans="1:1" x14ac:dyDescent="0.25">
      <c r="A1274" s="19" t="s">
        <v>3905</v>
      </c>
    </row>
    <row r="1275" spans="1:1" x14ac:dyDescent="0.25">
      <c r="A1275" s="19" t="s">
        <v>3906</v>
      </c>
    </row>
    <row r="1276" spans="1:1" x14ac:dyDescent="0.25">
      <c r="A1276" s="19" t="s">
        <v>3907</v>
      </c>
    </row>
    <row r="1277" spans="1:1" x14ac:dyDescent="0.25">
      <c r="A1277" s="19" t="s">
        <v>3908</v>
      </c>
    </row>
    <row r="1278" spans="1:1" x14ac:dyDescent="0.25">
      <c r="A1278" s="19" t="s">
        <v>3909</v>
      </c>
    </row>
    <row r="1279" spans="1:1" x14ac:dyDescent="0.25">
      <c r="A1279" s="19" t="s">
        <v>3910</v>
      </c>
    </row>
    <row r="1280" spans="1:1" x14ac:dyDescent="0.25">
      <c r="A1280" s="19" t="s">
        <v>3911</v>
      </c>
    </row>
    <row r="1281" spans="1:1" x14ac:dyDescent="0.25">
      <c r="A1281" s="19" t="s">
        <v>3912</v>
      </c>
    </row>
    <row r="1282" spans="1:1" x14ac:dyDescent="0.25">
      <c r="A1282" s="19" t="s">
        <v>3913</v>
      </c>
    </row>
    <row r="1283" spans="1:1" x14ac:dyDescent="0.25">
      <c r="A1283" s="19" t="s">
        <v>3914</v>
      </c>
    </row>
    <row r="1284" spans="1:1" x14ac:dyDescent="0.25">
      <c r="A1284" s="19" t="s">
        <v>3915</v>
      </c>
    </row>
    <row r="1285" spans="1:1" x14ac:dyDescent="0.25">
      <c r="A1285" s="19" t="s">
        <v>3916</v>
      </c>
    </row>
    <row r="1286" spans="1:1" x14ac:dyDescent="0.25">
      <c r="A1286" s="19" t="s">
        <v>3917</v>
      </c>
    </row>
    <row r="1287" spans="1:1" x14ac:dyDescent="0.25">
      <c r="A1287" s="19" t="s">
        <v>3918</v>
      </c>
    </row>
    <row r="1288" spans="1:1" x14ac:dyDescent="0.25">
      <c r="A1288" s="19" t="s">
        <v>3919</v>
      </c>
    </row>
    <row r="1289" spans="1:1" x14ac:dyDescent="0.25">
      <c r="A1289" s="19" t="s">
        <v>3920</v>
      </c>
    </row>
    <row r="1290" spans="1:1" x14ac:dyDescent="0.25">
      <c r="A1290" s="19" t="s">
        <v>3921</v>
      </c>
    </row>
    <row r="1291" spans="1:1" x14ac:dyDescent="0.25">
      <c r="A1291" s="19" t="s">
        <v>3922</v>
      </c>
    </row>
    <row r="1292" spans="1:1" x14ac:dyDescent="0.25">
      <c r="A1292" s="19" t="s">
        <v>3923</v>
      </c>
    </row>
    <row r="1293" spans="1:1" x14ac:dyDescent="0.25">
      <c r="A1293" s="19" t="s">
        <v>3924</v>
      </c>
    </row>
    <row r="1294" spans="1:1" x14ac:dyDescent="0.25">
      <c r="A1294" s="19" t="s">
        <v>3925</v>
      </c>
    </row>
    <row r="1295" spans="1:1" x14ac:dyDescent="0.25">
      <c r="A1295" s="19" t="s">
        <v>3926</v>
      </c>
    </row>
    <row r="1296" spans="1:1" x14ac:dyDescent="0.25">
      <c r="A1296" s="19" t="s">
        <v>3927</v>
      </c>
    </row>
    <row r="1297" spans="1:1" x14ac:dyDescent="0.25">
      <c r="A1297" s="19" t="s">
        <v>3928</v>
      </c>
    </row>
    <row r="1298" spans="1:1" x14ac:dyDescent="0.25">
      <c r="A1298" s="19" t="s">
        <v>3929</v>
      </c>
    </row>
    <row r="1299" spans="1:1" x14ac:dyDescent="0.25">
      <c r="A1299" s="19" t="s">
        <v>3930</v>
      </c>
    </row>
    <row r="1300" spans="1:1" x14ac:dyDescent="0.25">
      <c r="A1300" s="19" t="s">
        <v>3931</v>
      </c>
    </row>
    <row r="1301" spans="1:1" x14ac:dyDescent="0.25">
      <c r="A1301" s="19" t="s">
        <v>3932</v>
      </c>
    </row>
    <row r="1302" spans="1:1" x14ac:dyDescent="0.25">
      <c r="A1302" s="19" t="s">
        <v>3933</v>
      </c>
    </row>
    <row r="1303" spans="1:1" x14ac:dyDescent="0.25">
      <c r="A1303" s="19" t="s">
        <v>3934</v>
      </c>
    </row>
    <row r="1304" spans="1:1" x14ac:dyDescent="0.25">
      <c r="A1304" s="19" t="s">
        <v>3935</v>
      </c>
    </row>
    <row r="1305" spans="1:1" x14ac:dyDescent="0.25">
      <c r="A1305" s="19" t="s">
        <v>3936</v>
      </c>
    </row>
    <row r="1306" spans="1:1" x14ac:dyDescent="0.25">
      <c r="A1306" s="19" t="s">
        <v>3937</v>
      </c>
    </row>
    <row r="1307" spans="1:1" x14ac:dyDescent="0.25">
      <c r="A1307" s="19" t="s">
        <v>3938</v>
      </c>
    </row>
    <row r="1308" spans="1:1" x14ac:dyDescent="0.25">
      <c r="A1308" s="19" t="s">
        <v>3939</v>
      </c>
    </row>
    <row r="1309" spans="1:1" x14ac:dyDescent="0.25">
      <c r="A1309" s="19" t="s">
        <v>3940</v>
      </c>
    </row>
    <row r="1310" spans="1:1" x14ac:dyDescent="0.25">
      <c r="A1310" s="19" t="s">
        <v>3941</v>
      </c>
    </row>
    <row r="1311" spans="1:1" x14ac:dyDescent="0.25">
      <c r="A1311" s="19" t="s">
        <v>3942</v>
      </c>
    </row>
    <row r="1312" spans="1:1" x14ac:dyDescent="0.25">
      <c r="A1312" s="19" t="s">
        <v>3943</v>
      </c>
    </row>
    <row r="1313" spans="1:1" x14ac:dyDescent="0.25">
      <c r="A1313" s="19" t="s">
        <v>3944</v>
      </c>
    </row>
    <row r="1314" spans="1:1" x14ac:dyDescent="0.25">
      <c r="A1314" s="19" t="s">
        <v>3945</v>
      </c>
    </row>
    <row r="1315" spans="1:1" x14ac:dyDescent="0.25">
      <c r="A1315" s="19" t="s">
        <v>3946</v>
      </c>
    </row>
    <row r="1316" spans="1:1" x14ac:dyDescent="0.25">
      <c r="A1316" s="19" t="s">
        <v>3946</v>
      </c>
    </row>
    <row r="1317" spans="1:1" x14ac:dyDescent="0.25">
      <c r="A1317" s="19" t="s">
        <v>3946</v>
      </c>
    </row>
    <row r="1318" spans="1:1" x14ac:dyDescent="0.25">
      <c r="A1318" s="19" t="s">
        <v>3946</v>
      </c>
    </row>
    <row r="1319" spans="1:1" x14ac:dyDescent="0.25">
      <c r="A1319" s="19" t="s">
        <v>3946</v>
      </c>
    </row>
    <row r="1320" spans="1:1" x14ac:dyDescent="0.25">
      <c r="A1320" s="19" t="s">
        <v>3947</v>
      </c>
    </row>
    <row r="1321" spans="1:1" x14ac:dyDescent="0.25">
      <c r="A1321" s="19" t="s">
        <v>3948</v>
      </c>
    </row>
    <row r="1322" spans="1:1" x14ac:dyDescent="0.25">
      <c r="A1322" s="19" t="s">
        <v>3949</v>
      </c>
    </row>
    <row r="1323" spans="1:1" x14ac:dyDescent="0.25">
      <c r="A1323" s="19" t="s">
        <v>3950</v>
      </c>
    </row>
    <row r="1324" spans="1:1" x14ac:dyDescent="0.25">
      <c r="A1324" s="19" t="s">
        <v>3951</v>
      </c>
    </row>
    <row r="1325" spans="1:1" x14ac:dyDescent="0.25">
      <c r="A1325" s="19" t="s">
        <v>3952</v>
      </c>
    </row>
    <row r="1326" spans="1:1" x14ac:dyDescent="0.25">
      <c r="A1326" s="19" t="s">
        <v>3953</v>
      </c>
    </row>
    <row r="1327" spans="1:1" x14ac:dyDescent="0.25">
      <c r="A1327" s="19" t="s">
        <v>3954</v>
      </c>
    </row>
    <row r="1328" spans="1:1" x14ac:dyDescent="0.25">
      <c r="A1328" s="19" t="s">
        <v>3955</v>
      </c>
    </row>
    <row r="1329" spans="1:1" x14ac:dyDescent="0.25">
      <c r="A1329" s="19" t="s">
        <v>3956</v>
      </c>
    </row>
    <row r="1330" spans="1:1" x14ac:dyDescent="0.25">
      <c r="A1330" s="19" t="s">
        <v>3957</v>
      </c>
    </row>
    <row r="1331" spans="1:1" x14ac:dyDescent="0.25">
      <c r="A1331" s="19" t="s">
        <v>3958</v>
      </c>
    </row>
    <row r="1332" spans="1:1" x14ac:dyDescent="0.25">
      <c r="A1332" s="19" t="s">
        <v>3959</v>
      </c>
    </row>
    <row r="1333" spans="1:1" x14ac:dyDescent="0.25">
      <c r="A1333" s="19" t="s">
        <v>3960</v>
      </c>
    </row>
    <row r="1334" spans="1:1" x14ac:dyDescent="0.25">
      <c r="A1334" s="19" t="s">
        <v>3961</v>
      </c>
    </row>
    <row r="1335" spans="1:1" x14ac:dyDescent="0.25">
      <c r="A1335" s="19" t="s">
        <v>3962</v>
      </c>
    </row>
    <row r="1336" spans="1:1" x14ac:dyDescent="0.25">
      <c r="A1336" s="19" t="s">
        <v>3963</v>
      </c>
    </row>
    <row r="1337" spans="1:1" x14ac:dyDescent="0.25">
      <c r="A1337" s="19" t="s">
        <v>3964</v>
      </c>
    </row>
    <row r="1338" spans="1:1" x14ac:dyDescent="0.25">
      <c r="A1338" s="19" t="s">
        <v>3965</v>
      </c>
    </row>
    <row r="1339" spans="1:1" x14ac:dyDescent="0.25">
      <c r="A1339" s="19" t="s">
        <v>3966</v>
      </c>
    </row>
    <row r="1340" spans="1:1" x14ac:dyDescent="0.25">
      <c r="A1340" s="19" t="s">
        <v>3967</v>
      </c>
    </row>
    <row r="1341" spans="1:1" x14ac:dyDescent="0.25">
      <c r="A1341" s="19" t="s">
        <v>3968</v>
      </c>
    </row>
    <row r="1342" spans="1:1" x14ac:dyDescent="0.25">
      <c r="A1342" s="19" t="s">
        <v>3969</v>
      </c>
    </row>
    <row r="1343" spans="1:1" x14ac:dyDescent="0.25">
      <c r="A1343" s="19" t="s">
        <v>3970</v>
      </c>
    </row>
    <row r="1344" spans="1:1" x14ac:dyDescent="0.25">
      <c r="A1344" s="19" t="s">
        <v>3971</v>
      </c>
    </row>
    <row r="1345" spans="1:1" x14ac:dyDescent="0.25">
      <c r="A1345" s="19" t="s">
        <v>3972</v>
      </c>
    </row>
    <row r="1346" spans="1:1" x14ac:dyDescent="0.25">
      <c r="A1346" s="19" t="s">
        <v>3973</v>
      </c>
    </row>
    <row r="1347" spans="1:1" x14ac:dyDescent="0.25">
      <c r="A1347" s="19" t="s">
        <v>3974</v>
      </c>
    </row>
    <row r="1348" spans="1:1" x14ac:dyDescent="0.25">
      <c r="A1348" s="19" t="s">
        <v>3975</v>
      </c>
    </row>
    <row r="1349" spans="1:1" x14ac:dyDescent="0.25">
      <c r="A1349" s="19" t="s">
        <v>3976</v>
      </c>
    </row>
    <row r="1350" spans="1:1" x14ac:dyDescent="0.25">
      <c r="A1350" s="19" t="s">
        <v>3977</v>
      </c>
    </row>
    <row r="1351" spans="1:1" x14ac:dyDescent="0.25">
      <c r="A1351" s="19" t="s">
        <v>3978</v>
      </c>
    </row>
    <row r="1352" spans="1:1" x14ac:dyDescent="0.25">
      <c r="A1352" s="19" t="s">
        <v>3979</v>
      </c>
    </row>
    <row r="1353" spans="1:1" x14ac:dyDescent="0.25">
      <c r="A1353" s="19" t="s">
        <v>3980</v>
      </c>
    </row>
    <row r="1354" spans="1:1" x14ac:dyDescent="0.25">
      <c r="A1354" s="19" t="s">
        <v>3981</v>
      </c>
    </row>
    <row r="1355" spans="1:1" x14ac:dyDescent="0.25">
      <c r="A1355" s="19" t="s">
        <v>3982</v>
      </c>
    </row>
    <row r="1356" spans="1:1" x14ac:dyDescent="0.25">
      <c r="A1356" s="19" t="s">
        <v>3983</v>
      </c>
    </row>
    <row r="1357" spans="1:1" x14ac:dyDescent="0.25">
      <c r="A1357" s="19" t="s">
        <v>3984</v>
      </c>
    </row>
    <row r="1358" spans="1:1" x14ac:dyDescent="0.25">
      <c r="A1358" s="19" t="s">
        <v>3985</v>
      </c>
    </row>
    <row r="1359" spans="1:1" x14ac:dyDescent="0.25">
      <c r="A1359" s="19" t="s">
        <v>3986</v>
      </c>
    </row>
    <row r="1360" spans="1:1" x14ac:dyDescent="0.25">
      <c r="A1360" s="19" t="s">
        <v>3987</v>
      </c>
    </row>
    <row r="1361" spans="1:1" x14ac:dyDescent="0.25">
      <c r="A1361" s="19" t="s">
        <v>3988</v>
      </c>
    </row>
    <row r="1362" spans="1:1" x14ac:dyDescent="0.25">
      <c r="A1362" s="19" t="s">
        <v>3989</v>
      </c>
    </row>
    <row r="1363" spans="1:1" x14ac:dyDescent="0.25">
      <c r="A1363" s="19" t="s">
        <v>3990</v>
      </c>
    </row>
    <row r="1364" spans="1:1" x14ac:dyDescent="0.25">
      <c r="A1364" s="19" t="s">
        <v>3991</v>
      </c>
    </row>
    <row r="1365" spans="1:1" x14ac:dyDescent="0.25">
      <c r="A1365" s="19" t="s">
        <v>3992</v>
      </c>
    </row>
    <row r="1366" spans="1:1" x14ac:dyDescent="0.25">
      <c r="A1366" s="19" t="s">
        <v>3993</v>
      </c>
    </row>
    <row r="1367" spans="1:1" x14ac:dyDescent="0.25">
      <c r="A1367" s="19" t="s">
        <v>3994</v>
      </c>
    </row>
    <row r="1368" spans="1:1" x14ac:dyDescent="0.25">
      <c r="A1368" s="19" t="s">
        <v>3995</v>
      </c>
    </row>
    <row r="1369" spans="1:1" x14ac:dyDescent="0.25">
      <c r="A1369" s="19" t="s">
        <v>3996</v>
      </c>
    </row>
    <row r="1370" spans="1:1" x14ac:dyDescent="0.25">
      <c r="A1370" s="19" t="s">
        <v>3997</v>
      </c>
    </row>
    <row r="1371" spans="1:1" x14ac:dyDescent="0.25">
      <c r="A1371" s="19" t="s">
        <v>3998</v>
      </c>
    </row>
    <row r="1372" spans="1:1" x14ac:dyDescent="0.25">
      <c r="A1372" s="19" t="s">
        <v>3999</v>
      </c>
    </row>
    <row r="1373" spans="1:1" x14ac:dyDescent="0.25">
      <c r="A1373" s="19" t="s">
        <v>4000</v>
      </c>
    </row>
    <row r="1374" spans="1:1" x14ac:dyDescent="0.25">
      <c r="A1374" s="19" t="s">
        <v>4001</v>
      </c>
    </row>
    <row r="1375" spans="1:1" x14ac:dyDescent="0.25">
      <c r="A1375" s="19" t="s">
        <v>4002</v>
      </c>
    </row>
    <row r="1376" spans="1:1" x14ac:dyDescent="0.25">
      <c r="A1376" s="19" t="s">
        <v>4003</v>
      </c>
    </row>
    <row r="1377" spans="1:1" x14ac:dyDescent="0.25">
      <c r="A1377" s="19" t="s">
        <v>4004</v>
      </c>
    </row>
    <row r="1378" spans="1:1" x14ac:dyDescent="0.25">
      <c r="A1378" s="19" t="s">
        <v>4005</v>
      </c>
    </row>
    <row r="1379" spans="1:1" x14ac:dyDescent="0.25">
      <c r="A1379" s="19" t="s">
        <v>4006</v>
      </c>
    </row>
    <row r="1380" spans="1:1" x14ac:dyDescent="0.25">
      <c r="A1380" s="19" t="s">
        <v>4007</v>
      </c>
    </row>
    <row r="1381" spans="1:1" x14ac:dyDescent="0.25">
      <c r="A1381" s="19" t="s">
        <v>4008</v>
      </c>
    </row>
    <row r="1382" spans="1:1" x14ac:dyDescent="0.25">
      <c r="A1382" s="19" t="s">
        <v>4009</v>
      </c>
    </row>
    <row r="1383" spans="1:1" x14ac:dyDescent="0.25">
      <c r="A1383" s="19" t="s">
        <v>4010</v>
      </c>
    </row>
    <row r="1384" spans="1:1" x14ac:dyDescent="0.25">
      <c r="A1384" s="19" t="s">
        <v>4011</v>
      </c>
    </row>
    <row r="1385" spans="1:1" x14ac:dyDescent="0.25">
      <c r="A1385" s="19" t="s">
        <v>4012</v>
      </c>
    </row>
    <row r="1386" spans="1:1" x14ac:dyDescent="0.25">
      <c r="A1386" s="19" t="s">
        <v>4013</v>
      </c>
    </row>
    <row r="1387" spans="1:1" x14ac:dyDescent="0.25">
      <c r="A1387" s="19" t="s">
        <v>4014</v>
      </c>
    </row>
    <row r="1388" spans="1:1" x14ac:dyDescent="0.25">
      <c r="A1388" s="19" t="s">
        <v>4015</v>
      </c>
    </row>
    <row r="1389" spans="1:1" x14ac:dyDescent="0.25">
      <c r="A1389" s="19" t="s">
        <v>4016</v>
      </c>
    </row>
    <row r="1390" spans="1:1" x14ac:dyDescent="0.25">
      <c r="A1390" s="19" t="s">
        <v>4017</v>
      </c>
    </row>
    <row r="1391" spans="1:1" x14ac:dyDescent="0.25">
      <c r="A1391" s="19" t="s">
        <v>4018</v>
      </c>
    </row>
    <row r="1392" spans="1:1" x14ac:dyDescent="0.25">
      <c r="A1392" s="19" t="s">
        <v>4019</v>
      </c>
    </row>
    <row r="1393" spans="1:1" x14ac:dyDescent="0.25">
      <c r="A1393" s="19" t="s">
        <v>4020</v>
      </c>
    </row>
    <row r="1394" spans="1:1" x14ac:dyDescent="0.25">
      <c r="A1394" s="19" t="s">
        <v>4021</v>
      </c>
    </row>
    <row r="1395" spans="1:1" x14ac:dyDescent="0.25">
      <c r="A1395" s="19" t="s">
        <v>4022</v>
      </c>
    </row>
    <row r="1396" spans="1:1" x14ac:dyDescent="0.25">
      <c r="A1396" s="19" t="s">
        <v>4023</v>
      </c>
    </row>
    <row r="1397" spans="1:1" x14ac:dyDescent="0.25">
      <c r="A1397" s="19" t="s">
        <v>4024</v>
      </c>
    </row>
    <row r="1398" spans="1:1" x14ac:dyDescent="0.25">
      <c r="A1398" s="19" t="s">
        <v>4025</v>
      </c>
    </row>
    <row r="1399" spans="1:1" x14ac:dyDescent="0.25">
      <c r="A1399" s="19" t="s">
        <v>4026</v>
      </c>
    </row>
    <row r="1400" spans="1:1" x14ac:dyDescent="0.25">
      <c r="A1400" s="19" t="s">
        <v>4027</v>
      </c>
    </row>
    <row r="1401" spans="1:1" x14ac:dyDescent="0.25">
      <c r="A1401" s="19" t="s">
        <v>4028</v>
      </c>
    </row>
    <row r="1402" spans="1:1" x14ac:dyDescent="0.25">
      <c r="A1402" s="19" t="s">
        <v>4029</v>
      </c>
    </row>
    <row r="1403" spans="1:1" x14ac:dyDescent="0.25">
      <c r="A1403" s="19" t="s">
        <v>4030</v>
      </c>
    </row>
    <row r="1404" spans="1:1" x14ac:dyDescent="0.25">
      <c r="A1404" s="19" t="s">
        <v>4031</v>
      </c>
    </row>
    <row r="1405" spans="1:1" x14ac:dyDescent="0.25">
      <c r="A1405" s="19" t="s">
        <v>4032</v>
      </c>
    </row>
    <row r="1406" spans="1:1" x14ac:dyDescent="0.25">
      <c r="A1406" s="19" t="s">
        <v>4033</v>
      </c>
    </row>
    <row r="1407" spans="1:1" x14ac:dyDescent="0.25">
      <c r="A1407" s="19" t="s">
        <v>4034</v>
      </c>
    </row>
    <row r="1408" spans="1:1" x14ac:dyDescent="0.25">
      <c r="A1408" s="19" t="s">
        <v>4035</v>
      </c>
    </row>
    <row r="1409" spans="1:1" x14ac:dyDescent="0.25">
      <c r="A1409" s="19" t="s">
        <v>4036</v>
      </c>
    </row>
    <row r="1410" spans="1:1" x14ac:dyDescent="0.25">
      <c r="A1410" s="19" t="s">
        <v>4036</v>
      </c>
    </row>
    <row r="1411" spans="1:1" x14ac:dyDescent="0.25">
      <c r="A1411" s="19" t="s">
        <v>4036</v>
      </c>
    </row>
    <row r="1412" spans="1:1" x14ac:dyDescent="0.25">
      <c r="A1412" s="19" t="s">
        <v>4036</v>
      </c>
    </row>
    <row r="1413" spans="1:1" x14ac:dyDescent="0.25">
      <c r="A1413" s="19" t="s">
        <v>4036</v>
      </c>
    </row>
    <row r="1414" spans="1:1" x14ac:dyDescent="0.25">
      <c r="A1414" s="19" t="s">
        <v>4036</v>
      </c>
    </row>
    <row r="1415" spans="1:1" x14ac:dyDescent="0.25">
      <c r="A1415" s="19" t="s">
        <v>4037</v>
      </c>
    </row>
    <row r="1416" spans="1:1" x14ac:dyDescent="0.25">
      <c r="A1416" s="19" t="s">
        <v>4038</v>
      </c>
    </row>
    <row r="1417" spans="1:1" x14ac:dyDescent="0.25">
      <c r="A1417" s="19" t="s">
        <v>4039</v>
      </c>
    </row>
    <row r="1418" spans="1:1" x14ac:dyDescent="0.25">
      <c r="A1418" s="19" t="s">
        <v>4040</v>
      </c>
    </row>
    <row r="1419" spans="1:1" x14ac:dyDescent="0.25">
      <c r="A1419" s="19" t="s">
        <v>4041</v>
      </c>
    </row>
    <row r="1420" spans="1:1" x14ac:dyDescent="0.25">
      <c r="A1420" s="19" t="s">
        <v>4042</v>
      </c>
    </row>
    <row r="1421" spans="1:1" x14ac:dyDescent="0.25">
      <c r="A1421" s="19" t="s">
        <v>4043</v>
      </c>
    </row>
    <row r="1422" spans="1:1" x14ac:dyDescent="0.25">
      <c r="A1422" s="19" t="s">
        <v>4044</v>
      </c>
    </row>
    <row r="1423" spans="1:1" x14ac:dyDescent="0.25">
      <c r="A1423" s="19" t="s">
        <v>4045</v>
      </c>
    </row>
    <row r="1424" spans="1:1" x14ac:dyDescent="0.25">
      <c r="A1424" s="19" t="s">
        <v>4046</v>
      </c>
    </row>
    <row r="1425" spans="1:1" x14ac:dyDescent="0.25">
      <c r="A1425" s="19" t="s">
        <v>4047</v>
      </c>
    </row>
    <row r="1426" spans="1:1" x14ac:dyDescent="0.25">
      <c r="A1426" s="19" t="s">
        <v>4048</v>
      </c>
    </row>
    <row r="1427" spans="1:1" x14ac:dyDescent="0.25">
      <c r="A1427" s="19" t="s">
        <v>4049</v>
      </c>
    </row>
    <row r="1428" spans="1:1" x14ac:dyDescent="0.25">
      <c r="A1428" s="19" t="s">
        <v>4050</v>
      </c>
    </row>
    <row r="1429" spans="1:1" x14ac:dyDescent="0.25">
      <c r="A1429" s="19" t="s">
        <v>4051</v>
      </c>
    </row>
    <row r="1430" spans="1:1" x14ac:dyDescent="0.25">
      <c r="A1430" s="19" t="s">
        <v>4052</v>
      </c>
    </row>
    <row r="1431" spans="1:1" x14ac:dyDescent="0.25">
      <c r="A1431" s="19" t="s">
        <v>4053</v>
      </c>
    </row>
    <row r="1432" spans="1:1" x14ac:dyDescent="0.25">
      <c r="A1432" s="19" t="s">
        <v>4054</v>
      </c>
    </row>
    <row r="1433" spans="1:1" x14ac:dyDescent="0.25">
      <c r="A1433" s="19" t="s">
        <v>4055</v>
      </c>
    </row>
    <row r="1434" spans="1:1" x14ac:dyDescent="0.25">
      <c r="A1434" s="19" t="s">
        <v>4056</v>
      </c>
    </row>
    <row r="1435" spans="1:1" x14ac:dyDescent="0.25">
      <c r="A1435" s="19" t="s">
        <v>4057</v>
      </c>
    </row>
    <row r="1436" spans="1:1" x14ac:dyDescent="0.25">
      <c r="A1436" s="19" t="s">
        <v>4058</v>
      </c>
    </row>
    <row r="1437" spans="1:1" x14ac:dyDescent="0.25">
      <c r="A1437" s="19" t="s">
        <v>4059</v>
      </c>
    </row>
    <row r="1438" spans="1:1" x14ac:dyDescent="0.25">
      <c r="A1438" s="19" t="s">
        <v>4060</v>
      </c>
    </row>
    <row r="1439" spans="1:1" x14ac:dyDescent="0.25">
      <c r="A1439" s="19" t="s">
        <v>4061</v>
      </c>
    </row>
    <row r="1440" spans="1:1" x14ac:dyDescent="0.25">
      <c r="A1440" s="19" t="s">
        <v>4062</v>
      </c>
    </row>
    <row r="1441" spans="1:1" x14ac:dyDescent="0.25">
      <c r="A1441" s="19" t="s">
        <v>4063</v>
      </c>
    </row>
    <row r="1442" spans="1:1" x14ac:dyDescent="0.25">
      <c r="A1442" s="19" t="s">
        <v>4064</v>
      </c>
    </row>
    <row r="1443" spans="1:1" x14ac:dyDescent="0.25">
      <c r="A1443" s="19" t="s">
        <v>4065</v>
      </c>
    </row>
    <row r="1444" spans="1:1" x14ac:dyDescent="0.25">
      <c r="A1444" s="19" t="s">
        <v>4066</v>
      </c>
    </row>
    <row r="1445" spans="1:1" x14ac:dyDescent="0.25">
      <c r="A1445" s="19" t="s">
        <v>4067</v>
      </c>
    </row>
    <row r="1446" spans="1:1" x14ac:dyDescent="0.25">
      <c r="A1446" s="19" t="s">
        <v>4068</v>
      </c>
    </row>
    <row r="1447" spans="1:1" x14ac:dyDescent="0.25">
      <c r="A1447" s="19" t="s">
        <v>4069</v>
      </c>
    </row>
    <row r="1448" spans="1:1" x14ac:dyDescent="0.25">
      <c r="A1448" s="19" t="s">
        <v>4070</v>
      </c>
    </row>
    <row r="1449" spans="1:1" x14ac:dyDescent="0.25">
      <c r="A1449" s="19" t="s">
        <v>4071</v>
      </c>
    </row>
    <row r="1450" spans="1:1" x14ac:dyDescent="0.25">
      <c r="A1450" s="19" t="s">
        <v>4072</v>
      </c>
    </row>
    <row r="1451" spans="1:1" x14ac:dyDescent="0.25">
      <c r="A1451" s="19" t="s">
        <v>4073</v>
      </c>
    </row>
    <row r="1452" spans="1:1" x14ac:dyDescent="0.25">
      <c r="A1452" s="19" t="s">
        <v>4074</v>
      </c>
    </row>
    <row r="1453" spans="1:1" x14ac:dyDescent="0.25">
      <c r="A1453" s="19" t="s">
        <v>4075</v>
      </c>
    </row>
    <row r="1454" spans="1:1" x14ac:dyDescent="0.25">
      <c r="A1454" s="19" t="s">
        <v>4076</v>
      </c>
    </row>
    <row r="1455" spans="1:1" x14ac:dyDescent="0.25">
      <c r="A1455" s="19" t="s">
        <v>4077</v>
      </c>
    </row>
    <row r="1456" spans="1:1" x14ac:dyDescent="0.25">
      <c r="A1456" s="19" t="s">
        <v>4078</v>
      </c>
    </row>
    <row r="1457" spans="1:1" x14ac:dyDescent="0.25">
      <c r="A1457" s="19" t="s">
        <v>4079</v>
      </c>
    </row>
    <row r="1458" spans="1:1" x14ac:dyDescent="0.25">
      <c r="A1458" s="19" t="s">
        <v>4080</v>
      </c>
    </row>
    <row r="1459" spans="1:1" x14ac:dyDescent="0.25">
      <c r="A1459" s="19" t="s">
        <v>4081</v>
      </c>
    </row>
    <row r="1460" spans="1:1" x14ac:dyDescent="0.25">
      <c r="A1460" s="19" t="s">
        <v>4082</v>
      </c>
    </row>
    <row r="1461" spans="1:1" x14ac:dyDescent="0.25">
      <c r="A1461" s="19" t="s">
        <v>4083</v>
      </c>
    </row>
    <row r="1462" spans="1:1" x14ac:dyDescent="0.25">
      <c r="A1462" s="19" t="s">
        <v>4084</v>
      </c>
    </row>
    <row r="1463" spans="1:1" x14ac:dyDescent="0.25">
      <c r="A1463" s="19" t="s">
        <v>4085</v>
      </c>
    </row>
    <row r="1464" spans="1:1" x14ac:dyDescent="0.25">
      <c r="A1464" s="19" t="s">
        <v>4086</v>
      </c>
    </row>
    <row r="1465" spans="1:1" x14ac:dyDescent="0.25">
      <c r="A1465" s="19" t="s">
        <v>4087</v>
      </c>
    </row>
    <row r="1466" spans="1:1" x14ac:dyDescent="0.25">
      <c r="A1466" s="19" t="s">
        <v>4088</v>
      </c>
    </row>
    <row r="1467" spans="1:1" x14ac:dyDescent="0.25">
      <c r="A1467" s="19" t="s">
        <v>4089</v>
      </c>
    </row>
    <row r="1468" spans="1:1" x14ac:dyDescent="0.25">
      <c r="A1468" s="19" t="s">
        <v>4090</v>
      </c>
    </row>
    <row r="1469" spans="1:1" x14ac:dyDescent="0.25">
      <c r="A1469" s="19" t="s">
        <v>4091</v>
      </c>
    </row>
    <row r="1470" spans="1:1" x14ac:dyDescent="0.25">
      <c r="A1470" s="19" t="s">
        <v>4092</v>
      </c>
    </row>
    <row r="1471" spans="1:1" x14ac:dyDescent="0.25">
      <c r="A1471" s="19" t="s">
        <v>4093</v>
      </c>
    </row>
    <row r="1472" spans="1:1" x14ac:dyDescent="0.25">
      <c r="A1472" s="19" t="s">
        <v>4094</v>
      </c>
    </row>
    <row r="1473" spans="1:1" x14ac:dyDescent="0.25">
      <c r="A1473" s="19" t="s">
        <v>4095</v>
      </c>
    </row>
    <row r="1474" spans="1:1" x14ac:dyDescent="0.25">
      <c r="A1474" s="19" t="s">
        <v>4096</v>
      </c>
    </row>
    <row r="1475" spans="1:1" x14ac:dyDescent="0.25">
      <c r="A1475" s="19" t="s">
        <v>4097</v>
      </c>
    </row>
    <row r="1476" spans="1:1" x14ac:dyDescent="0.25">
      <c r="A1476" s="19" t="s">
        <v>4098</v>
      </c>
    </row>
    <row r="1477" spans="1:1" x14ac:dyDescent="0.25">
      <c r="A1477" s="19" t="s">
        <v>4099</v>
      </c>
    </row>
    <row r="1478" spans="1:1" x14ac:dyDescent="0.25">
      <c r="A1478" s="19" t="s">
        <v>4100</v>
      </c>
    </row>
    <row r="1479" spans="1:1" x14ac:dyDescent="0.25">
      <c r="A1479" s="19" t="s">
        <v>4101</v>
      </c>
    </row>
    <row r="1480" spans="1:1" x14ac:dyDescent="0.25">
      <c r="A1480" s="19" t="s">
        <v>4102</v>
      </c>
    </row>
    <row r="1481" spans="1:1" x14ac:dyDescent="0.25">
      <c r="A1481" s="19" t="s">
        <v>4103</v>
      </c>
    </row>
    <row r="1482" spans="1:1" x14ac:dyDescent="0.25">
      <c r="A1482" s="19" t="s">
        <v>4104</v>
      </c>
    </row>
    <row r="1483" spans="1:1" x14ac:dyDescent="0.25">
      <c r="A1483" s="19" t="s">
        <v>4105</v>
      </c>
    </row>
    <row r="1484" spans="1:1" x14ac:dyDescent="0.25">
      <c r="A1484" s="19" t="s">
        <v>4106</v>
      </c>
    </row>
    <row r="1485" spans="1:1" x14ac:dyDescent="0.25">
      <c r="A1485" s="19" t="s">
        <v>4107</v>
      </c>
    </row>
    <row r="1486" spans="1:1" x14ac:dyDescent="0.25">
      <c r="A1486" s="19" t="s">
        <v>4108</v>
      </c>
    </row>
    <row r="1487" spans="1:1" x14ac:dyDescent="0.25">
      <c r="A1487" s="19" t="s">
        <v>4109</v>
      </c>
    </row>
    <row r="1488" spans="1:1" x14ac:dyDescent="0.25">
      <c r="A1488" s="19" t="s">
        <v>4110</v>
      </c>
    </row>
    <row r="1489" spans="1:1" x14ac:dyDescent="0.25">
      <c r="A1489" s="19" t="s">
        <v>4111</v>
      </c>
    </row>
    <row r="1490" spans="1:1" x14ac:dyDescent="0.25">
      <c r="A1490" s="19" t="s">
        <v>4112</v>
      </c>
    </row>
    <row r="1491" spans="1:1" x14ac:dyDescent="0.25">
      <c r="A1491" s="19" t="s">
        <v>4113</v>
      </c>
    </row>
    <row r="1492" spans="1:1" x14ac:dyDescent="0.25">
      <c r="A1492" s="19" t="s">
        <v>4114</v>
      </c>
    </row>
    <row r="1493" spans="1:1" x14ac:dyDescent="0.25">
      <c r="A1493" s="19" t="s">
        <v>4115</v>
      </c>
    </row>
    <row r="1494" spans="1:1" x14ac:dyDescent="0.25">
      <c r="A1494" s="19" t="s">
        <v>4116</v>
      </c>
    </row>
    <row r="1495" spans="1:1" x14ac:dyDescent="0.25">
      <c r="A1495" s="19" t="s">
        <v>4117</v>
      </c>
    </row>
    <row r="1496" spans="1:1" x14ac:dyDescent="0.25">
      <c r="A1496" s="19" t="s">
        <v>4118</v>
      </c>
    </row>
    <row r="1497" spans="1:1" x14ac:dyDescent="0.25">
      <c r="A1497" s="19" t="s">
        <v>4119</v>
      </c>
    </row>
    <row r="1498" spans="1:1" x14ac:dyDescent="0.25">
      <c r="A1498" s="19" t="s">
        <v>4120</v>
      </c>
    </row>
    <row r="1499" spans="1:1" x14ac:dyDescent="0.25">
      <c r="A1499" s="19" t="s">
        <v>4121</v>
      </c>
    </row>
    <row r="1500" spans="1:1" x14ac:dyDescent="0.25">
      <c r="A1500" s="19" t="s">
        <v>4122</v>
      </c>
    </row>
    <row r="1501" spans="1:1" x14ac:dyDescent="0.25">
      <c r="A1501" s="19" t="s">
        <v>4123</v>
      </c>
    </row>
    <row r="1502" spans="1:1" x14ac:dyDescent="0.25">
      <c r="A1502" s="19" t="s">
        <v>4124</v>
      </c>
    </row>
    <row r="1503" spans="1:1" x14ac:dyDescent="0.25">
      <c r="A1503" s="19" t="s">
        <v>4125</v>
      </c>
    </row>
    <row r="1504" spans="1:1" x14ac:dyDescent="0.25">
      <c r="A1504" s="19" t="s">
        <v>4126</v>
      </c>
    </row>
    <row r="1505" spans="1:1" x14ac:dyDescent="0.25">
      <c r="A1505" s="19" t="s">
        <v>4127</v>
      </c>
    </row>
    <row r="1506" spans="1:1" x14ac:dyDescent="0.25">
      <c r="A1506" s="19" t="s">
        <v>4128</v>
      </c>
    </row>
    <row r="1507" spans="1:1" x14ac:dyDescent="0.25">
      <c r="A1507" s="19" t="s">
        <v>4129</v>
      </c>
    </row>
    <row r="1508" spans="1:1" x14ac:dyDescent="0.25">
      <c r="A1508" s="19" t="s">
        <v>4130</v>
      </c>
    </row>
    <row r="1509" spans="1:1" x14ac:dyDescent="0.25">
      <c r="A1509" s="19" t="s">
        <v>4131</v>
      </c>
    </row>
    <row r="1510" spans="1:1" x14ac:dyDescent="0.25">
      <c r="A1510" s="19" t="s">
        <v>4132</v>
      </c>
    </row>
    <row r="1511" spans="1:1" x14ac:dyDescent="0.25">
      <c r="A1511" s="19" t="s">
        <v>4133</v>
      </c>
    </row>
    <row r="1512" spans="1:1" x14ac:dyDescent="0.25">
      <c r="A1512" s="19" t="s">
        <v>4134</v>
      </c>
    </row>
    <row r="1513" spans="1:1" x14ac:dyDescent="0.25">
      <c r="A1513" s="19" t="s">
        <v>4135</v>
      </c>
    </row>
    <row r="1514" spans="1:1" x14ac:dyDescent="0.25">
      <c r="A1514" s="19" t="s">
        <v>4136</v>
      </c>
    </row>
    <row r="1515" spans="1:1" x14ac:dyDescent="0.25">
      <c r="A1515" s="19" t="s">
        <v>4137</v>
      </c>
    </row>
    <row r="1516" spans="1:1" x14ac:dyDescent="0.25">
      <c r="A1516" s="19" t="s">
        <v>4138</v>
      </c>
    </row>
    <row r="1517" spans="1:1" x14ac:dyDescent="0.25">
      <c r="A1517" s="19" t="s">
        <v>4139</v>
      </c>
    </row>
    <row r="1518" spans="1:1" x14ac:dyDescent="0.25">
      <c r="A1518" s="19" t="s">
        <v>4139</v>
      </c>
    </row>
    <row r="1519" spans="1:1" x14ac:dyDescent="0.25">
      <c r="A1519" s="19" t="s">
        <v>4140</v>
      </c>
    </row>
    <row r="1520" spans="1:1" x14ac:dyDescent="0.25">
      <c r="A1520" s="19" t="s">
        <v>4141</v>
      </c>
    </row>
    <row r="1521" spans="1:1" x14ac:dyDescent="0.25">
      <c r="A1521" s="19" t="s">
        <v>4142</v>
      </c>
    </row>
    <row r="1522" spans="1:1" x14ac:dyDescent="0.25">
      <c r="A1522" s="19" t="s">
        <v>4143</v>
      </c>
    </row>
    <row r="1523" spans="1:1" x14ac:dyDescent="0.25">
      <c r="A1523" s="19" t="s">
        <v>4144</v>
      </c>
    </row>
    <row r="1524" spans="1:1" x14ac:dyDescent="0.25">
      <c r="A1524" s="19" t="s">
        <v>4145</v>
      </c>
    </row>
    <row r="1525" spans="1:1" x14ac:dyDescent="0.25">
      <c r="A1525" s="19" t="s">
        <v>4146</v>
      </c>
    </row>
    <row r="1526" spans="1:1" x14ac:dyDescent="0.25">
      <c r="A1526" s="19" t="s">
        <v>4147</v>
      </c>
    </row>
    <row r="1527" spans="1:1" x14ac:dyDescent="0.25">
      <c r="A1527" s="19" t="s">
        <v>4148</v>
      </c>
    </row>
    <row r="1528" spans="1:1" x14ac:dyDescent="0.25">
      <c r="A1528" s="19" t="s">
        <v>4149</v>
      </c>
    </row>
    <row r="1529" spans="1:1" x14ac:dyDescent="0.25">
      <c r="A1529" s="19" t="s">
        <v>4150</v>
      </c>
    </row>
    <row r="1530" spans="1:1" x14ac:dyDescent="0.25">
      <c r="A1530" s="19" t="s">
        <v>4151</v>
      </c>
    </row>
    <row r="1531" spans="1:1" x14ac:dyDescent="0.25">
      <c r="A1531" s="19" t="s">
        <v>4152</v>
      </c>
    </row>
    <row r="1532" spans="1:1" x14ac:dyDescent="0.25">
      <c r="A1532" s="19" t="s">
        <v>4153</v>
      </c>
    </row>
    <row r="1533" spans="1:1" x14ac:dyDescent="0.25">
      <c r="A1533" s="19" t="s">
        <v>4154</v>
      </c>
    </row>
    <row r="1534" spans="1:1" x14ac:dyDescent="0.25">
      <c r="A1534" s="19" t="s">
        <v>4155</v>
      </c>
    </row>
    <row r="1535" spans="1:1" x14ac:dyDescent="0.25">
      <c r="A1535" s="19" t="s">
        <v>4156</v>
      </c>
    </row>
    <row r="1536" spans="1:1" x14ac:dyDescent="0.25">
      <c r="A1536" s="19" t="s">
        <v>4157</v>
      </c>
    </row>
    <row r="1537" spans="1:1" x14ac:dyDescent="0.25">
      <c r="A1537" s="19" t="s">
        <v>4158</v>
      </c>
    </row>
    <row r="1538" spans="1:1" x14ac:dyDescent="0.25">
      <c r="A1538" s="19" t="s">
        <v>4159</v>
      </c>
    </row>
    <row r="1539" spans="1:1" x14ac:dyDescent="0.25">
      <c r="A1539" s="19" t="s">
        <v>4160</v>
      </c>
    </row>
    <row r="1540" spans="1:1" x14ac:dyDescent="0.25">
      <c r="A1540" s="19" t="s">
        <v>4161</v>
      </c>
    </row>
    <row r="1541" spans="1:1" x14ac:dyDescent="0.25">
      <c r="A1541" s="19" t="s">
        <v>4162</v>
      </c>
    </row>
    <row r="1542" spans="1:1" x14ac:dyDescent="0.25">
      <c r="A1542" s="19" t="s">
        <v>4163</v>
      </c>
    </row>
    <row r="1543" spans="1:1" x14ac:dyDescent="0.25">
      <c r="A1543" s="19" t="s">
        <v>4164</v>
      </c>
    </row>
    <row r="1544" spans="1:1" x14ac:dyDescent="0.25">
      <c r="A1544" s="19" t="s">
        <v>4165</v>
      </c>
    </row>
    <row r="1545" spans="1:1" x14ac:dyDescent="0.25">
      <c r="A1545" s="19" t="s">
        <v>4166</v>
      </c>
    </row>
    <row r="1546" spans="1:1" x14ac:dyDescent="0.25">
      <c r="A1546" s="19" t="s">
        <v>4167</v>
      </c>
    </row>
    <row r="1547" spans="1:1" x14ac:dyDescent="0.25">
      <c r="A1547" s="19" t="s">
        <v>4168</v>
      </c>
    </row>
    <row r="1548" spans="1:1" x14ac:dyDescent="0.25">
      <c r="A1548" s="19" t="s">
        <v>4169</v>
      </c>
    </row>
    <row r="1549" spans="1:1" x14ac:dyDescent="0.25">
      <c r="A1549" s="19" t="s">
        <v>4170</v>
      </c>
    </row>
    <row r="1550" spans="1:1" x14ac:dyDescent="0.25">
      <c r="A1550" s="19" t="s">
        <v>4171</v>
      </c>
    </row>
    <row r="1551" spans="1:1" x14ac:dyDescent="0.25">
      <c r="A1551" s="19" t="s">
        <v>4172</v>
      </c>
    </row>
    <row r="1552" spans="1:1" x14ac:dyDescent="0.25">
      <c r="A1552" s="19" t="s">
        <v>4173</v>
      </c>
    </row>
    <row r="1553" spans="1:1" x14ac:dyDescent="0.25">
      <c r="A1553" s="19" t="s">
        <v>4174</v>
      </c>
    </row>
    <row r="1554" spans="1:1" x14ac:dyDescent="0.25">
      <c r="A1554" s="19" t="s">
        <v>4175</v>
      </c>
    </row>
    <row r="1555" spans="1:1" x14ac:dyDescent="0.25">
      <c r="A1555" s="19" t="s">
        <v>4176</v>
      </c>
    </row>
    <row r="1556" spans="1:1" x14ac:dyDescent="0.25">
      <c r="A1556" s="19" t="s">
        <v>4177</v>
      </c>
    </row>
    <row r="1557" spans="1:1" x14ac:dyDescent="0.25">
      <c r="A1557" s="19" t="s">
        <v>4178</v>
      </c>
    </row>
    <row r="1558" spans="1:1" x14ac:dyDescent="0.25">
      <c r="A1558" s="19" t="s">
        <v>4179</v>
      </c>
    </row>
    <row r="1559" spans="1:1" x14ac:dyDescent="0.25">
      <c r="A1559" s="19" t="s">
        <v>4180</v>
      </c>
    </row>
    <row r="1560" spans="1:1" x14ac:dyDescent="0.25">
      <c r="A1560" s="19" t="s">
        <v>4181</v>
      </c>
    </row>
    <row r="1561" spans="1:1" x14ac:dyDescent="0.25">
      <c r="A1561" s="19" t="s">
        <v>4182</v>
      </c>
    </row>
    <row r="1562" spans="1:1" x14ac:dyDescent="0.25">
      <c r="A1562" s="19" t="s">
        <v>4183</v>
      </c>
    </row>
    <row r="1563" spans="1:1" x14ac:dyDescent="0.25">
      <c r="A1563" s="19" t="s">
        <v>4184</v>
      </c>
    </row>
    <row r="1564" spans="1:1" x14ac:dyDescent="0.25">
      <c r="A1564" s="19" t="s">
        <v>4185</v>
      </c>
    </row>
    <row r="1565" spans="1:1" x14ac:dyDescent="0.25">
      <c r="A1565" s="19" t="s">
        <v>4186</v>
      </c>
    </row>
    <row r="1566" spans="1:1" x14ac:dyDescent="0.25">
      <c r="A1566" s="19" t="s">
        <v>4187</v>
      </c>
    </row>
    <row r="1567" spans="1:1" x14ac:dyDescent="0.25">
      <c r="A1567" s="19" t="s">
        <v>4188</v>
      </c>
    </row>
    <row r="1568" spans="1:1" x14ac:dyDescent="0.25">
      <c r="A1568" s="19" t="s">
        <v>4189</v>
      </c>
    </row>
    <row r="1569" spans="1:1" x14ac:dyDescent="0.25">
      <c r="A1569" s="19" t="s">
        <v>4190</v>
      </c>
    </row>
    <row r="1570" spans="1:1" x14ac:dyDescent="0.25">
      <c r="A1570" s="19" t="s">
        <v>4191</v>
      </c>
    </row>
    <row r="1571" spans="1:1" x14ac:dyDescent="0.25">
      <c r="A1571" s="19" t="s">
        <v>4192</v>
      </c>
    </row>
    <row r="1572" spans="1:1" x14ac:dyDescent="0.25">
      <c r="A1572" s="19" t="s">
        <v>4193</v>
      </c>
    </row>
    <row r="1573" spans="1:1" x14ac:dyDescent="0.25">
      <c r="A1573" s="19" t="s">
        <v>4194</v>
      </c>
    </row>
    <row r="1574" spans="1:1" x14ac:dyDescent="0.25">
      <c r="A1574" s="19" t="s">
        <v>4195</v>
      </c>
    </row>
    <row r="1575" spans="1:1" x14ac:dyDescent="0.25">
      <c r="A1575" s="19" t="s">
        <v>4196</v>
      </c>
    </row>
    <row r="1576" spans="1:1" x14ac:dyDescent="0.25">
      <c r="A1576" s="19" t="s">
        <v>4197</v>
      </c>
    </row>
    <row r="1577" spans="1:1" x14ac:dyDescent="0.25">
      <c r="A1577" s="19" t="s">
        <v>4198</v>
      </c>
    </row>
    <row r="1578" spans="1:1" x14ac:dyDescent="0.25">
      <c r="A1578" s="19" t="s">
        <v>4199</v>
      </c>
    </row>
    <row r="1579" spans="1:1" x14ac:dyDescent="0.25">
      <c r="A1579" s="19" t="s">
        <v>4200</v>
      </c>
    </row>
    <row r="1580" spans="1:1" x14ac:dyDescent="0.25">
      <c r="A1580" s="19" t="s">
        <v>4201</v>
      </c>
    </row>
    <row r="1581" spans="1:1" x14ac:dyDescent="0.25">
      <c r="A1581" s="19" t="s">
        <v>4202</v>
      </c>
    </row>
    <row r="1582" spans="1:1" x14ac:dyDescent="0.25">
      <c r="A1582" s="19" t="s">
        <v>4203</v>
      </c>
    </row>
    <row r="1583" spans="1:1" x14ac:dyDescent="0.25">
      <c r="A1583" s="19" t="s">
        <v>4204</v>
      </c>
    </row>
    <row r="1584" spans="1:1" x14ac:dyDescent="0.25">
      <c r="A1584" s="19" t="s">
        <v>4205</v>
      </c>
    </row>
    <row r="1585" spans="1:1" x14ac:dyDescent="0.25">
      <c r="A1585" s="19" t="s">
        <v>4206</v>
      </c>
    </row>
    <row r="1586" spans="1:1" x14ac:dyDescent="0.25">
      <c r="A1586" s="19" t="s">
        <v>4207</v>
      </c>
    </row>
    <row r="1587" spans="1:1" x14ac:dyDescent="0.25">
      <c r="A1587" s="19" t="s">
        <v>4208</v>
      </c>
    </row>
    <row r="1588" spans="1:1" x14ac:dyDescent="0.25">
      <c r="A1588" s="19" t="s">
        <v>4209</v>
      </c>
    </row>
    <row r="1589" spans="1:1" x14ac:dyDescent="0.25">
      <c r="A1589" s="19" t="s">
        <v>4210</v>
      </c>
    </row>
    <row r="1590" spans="1:1" x14ac:dyDescent="0.25">
      <c r="A1590" s="19" t="s">
        <v>4211</v>
      </c>
    </row>
    <row r="1591" spans="1:1" x14ac:dyDescent="0.25">
      <c r="A1591" s="19" t="s">
        <v>4212</v>
      </c>
    </row>
    <row r="1592" spans="1:1" x14ac:dyDescent="0.25">
      <c r="A1592" s="19" t="s">
        <v>4213</v>
      </c>
    </row>
    <row r="1593" spans="1:1" x14ac:dyDescent="0.25">
      <c r="A1593" s="19" t="s">
        <v>4214</v>
      </c>
    </row>
    <row r="1594" spans="1:1" x14ac:dyDescent="0.25">
      <c r="A1594" s="19" t="s">
        <v>4215</v>
      </c>
    </row>
    <row r="1595" spans="1:1" x14ac:dyDescent="0.25">
      <c r="A1595" s="19" t="s">
        <v>4216</v>
      </c>
    </row>
    <row r="1596" spans="1:1" x14ac:dyDescent="0.25">
      <c r="A1596" s="19" t="s">
        <v>4217</v>
      </c>
    </row>
    <row r="1597" spans="1:1" x14ac:dyDescent="0.25">
      <c r="A1597" s="19" t="s">
        <v>4218</v>
      </c>
    </row>
    <row r="1598" spans="1:1" x14ac:dyDescent="0.25">
      <c r="A1598" s="19" t="s">
        <v>4219</v>
      </c>
    </row>
    <row r="1599" spans="1:1" x14ac:dyDescent="0.25">
      <c r="A1599" s="19" t="s">
        <v>4220</v>
      </c>
    </row>
    <row r="1600" spans="1:1" x14ac:dyDescent="0.25">
      <c r="A1600" s="19" t="s">
        <v>4221</v>
      </c>
    </row>
    <row r="1601" spans="1:1" x14ac:dyDescent="0.25">
      <c r="A1601" s="19" t="s">
        <v>4222</v>
      </c>
    </row>
    <row r="1602" spans="1:1" x14ac:dyDescent="0.25">
      <c r="A1602" s="19" t="s">
        <v>4223</v>
      </c>
    </row>
    <row r="1603" spans="1:1" x14ac:dyDescent="0.25">
      <c r="A1603" s="19" t="s">
        <v>4224</v>
      </c>
    </row>
    <row r="1604" spans="1:1" x14ac:dyDescent="0.25">
      <c r="A1604" s="19" t="s">
        <v>4225</v>
      </c>
    </row>
    <row r="1605" spans="1:1" x14ac:dyDescent="0.25">
      <c r="A1605" s="19" t="s">
        <v>4226</v>
      </c>
    </row>
    <row r="1606" spans="1:1" x14ac:dyDescent="0.25">
      <c r="A1606" s="19" t="s">
        <v>4227</v>
      </c>
    </row>
    <row r="1607" spans="1:1" x14ac:dyDescent="0.25">
      <c r="A1607" s="19" t="s">
        <v>4228</v>
      </c>
    </row>
    <row r="1608" spans="1:1" x14ac:dyDescent="0.25">
      <c r="A1608" s="19" t="s">
        <v>4229</v>
      </c>
    </row>
    <row r="1609" spans="1:1" x14ac:dyDescent="0.25">
      <c r="A1609" s="19" t="s">
        <v>4230</v>
      </c>
    </row>
    <row r="1610" spans="1:1" x14ac:dyDescent="0.25">
      <c r="A1610" s="19" t="s">
        <v>4231</v>
      </c>
    </row>
    <row r="1611" spans="1:1" x14ac:dyDescent="0.25">
      <c r="A1611" s="19" t="s">
        <v>4232</v>
      </c>
    </row>
    <row r="1612" spans="1:1" x14ac:dyDescent="0.25">
      <c r="A1612" s="19" t="s">
        <v>4233</v>
      </c>
    </row>
    <row r="1613" spans="1:1" x14ac:dyDescent="0.25">
      <c r="A1613" s="19" t="s">
        <v>4234</v>
      </c>
    </row>
    <row r="1614" spans="1:1" x14ac:dyDescent="0.25">
      <c r="A1614" s="19" t="s">
        <v>4235</v>
      </c>
    </row>
    <row r="1615" spans="1:1" x14ac:dyDescent="0.25">
      <c r="A1615" s="19" t="s">
        <v>4236</v>
      </c>
    </row>
    <row r="1616" spans="1:1" x14ac:dyDescent="0.25">
      <c r="A1616" s="19" t="s">
        <v>4237</v>
      </c>
    </row>
    <row r="1617" spans="1:1" x14ac:dyDescent="0.25">
      <c r="A1617" s="19" t="s">
        <v>4238</v>
      </c>
    </row>
    <row r="1618" spans="1:1" x14ac:dyDescent="0.25">
      <c r="A1618" s="19" t="s">
        <v>4239</v>
      </c>
    </row>
    <row r="1619" spans="1:1" x14ac:dyDescent="0.25">
      <c r="A1619" s="19" t="s">
        <v>4240</v>
      </c>
    </row>
    <row r="1620" spans="1:1" x14ac:dyDescent="0.25">
      <c r="A1620" s="19" t="s">
        <v>4241</v>
      </c>
    </row>
    <row r="1621" spans="1:1" x14ac:dyDescent="0.25">
      <c r="A1621" s="19" t="s">
        <v>4242</v>
      </c>
    </row>
    <row r="1622" spans="1:1" x14ac:dyDescent="0.25">
      <c r="A1622" s="19" t="s">
        <v>4243</v>
      </c>
    </row>
    <row r="1623" spans="1:1" x14ac:dyDescent="0.25">
      <c r="A1623" s="19" t="s">
        <v>4244</v>
      </c>
    </row>
    <row r="1624" spans="1:1" x14ac:dyDescent="0.25">
      <c r="A1624" s="19" t="s">
        <v>4245</v>
      </c>
    </row>
    <row r="1625" spans="1:1" x14ac:dyDescent="0.25">
      <c r="A1625" s="19" t="s">
        <v>4246</v>
      </c>
    </row>
    <row r="1626" spans="1:1" x14ac:dyDescent="0.25">
      <c r="A1626" s="19" t="s">
        <v>4247</v>
      </c>
    </row>
    <row r="1627" spans="1:1" x14ac:dyDescent="0.25">
      <c r="A1627" s="19" t="s">
        <v>4248</v>
      </c>
    </row>
    <row r="1628" spans="1:1" x14ac:dyDescent="0.25">
      <c r="A1628" s="19" t="s">
        <v>4249</v>
      </c>
    </row>
    <row r="1629" spans="1:1" x14ac:dyDescent="0.25">
      <c r="A1629" s="19" t="s">
        <v>4250</v>
      </c>
    </row>
    <row r="1630" spans="1:1" x14ac:dyDescent="0.25">
      <c r="A1630" s="19" t="s">
        <v>4251</v>
      </c>
    </row>
    <row r="1631" spans="1:1" x14ac:dyDescent="0.25">
      <c r="A1631" s="19" t="s">
        <v>4252</v>
      </c>
    </row>
    <row r="1632" spans="1:1" x14ac:dyDescent="0.25">
      <c r="A1632" s="19" t="s">
        <v>4253</v>
      </c>
    </row>
    <row r="1633" spans="1:1" x14ac:dyDescent="0.25">
      <c r="A1633" s="19" t="s">
        <v>4254</v>
      </c>
    </row>
    <row r="1634" spans="1:1" x14ac:dyDescent="0.25">
      <c r="A1634" s="19" t="s">
        <v>4254</v>
      </c>
    </row>
    <row r="1635" spans="1:1" x14ac:dyDescent="0.25">
      <c r="A1635" s="19" t="s">
        <v>4255</v>
      </c>
    </row>
    <row r="1636" spans="1:1" x14ac:dyDescent="0.25">
      <c r="A1636" s="19" t="s">
        <v>4256</v>
      </c>
    </row>
    <row r="1637" spans="1:1" x14ac:dyDescent="0.25">
      <c r="A1637" s="19" t="s">
        <v>4257</v>
      </c>
    </row>
    <row r="1638" spans="1:1" x14ac:dyDescent="0.25">
      <c r="A1638" s="19" t="s">
        <v>4258</v>
      </c>
    </row>
    <row r="1639" spans="1:1" x14ac:dyDescent="0.25">
      <c r="A1639" s="19" t="s">
        <v>4259</v>
      </c>
    </row>
    <row r="1640" spans="1:1" x14ac:dyDescent="0.25">
      <c r="A1640" s="19" t="s">
        <v>4260</v>
      </c>
    </row>
    <row r="1641" spans="1:1" x14ac:dyDescent="0.25">
      <c r="A1641" s="19" t="s">
        <v>4261</v>
      </c>
    </row>
    <row r="1642" spans="1:1" x14ac:dyDescent="0.25">
      <c r="A1642" s="19" t="s">
        <v>4262</v>
      </c>
    </row>
    <row r="1643" spans="1:1" x14ac:dyDescent="0.25">
      <c r="A1643" s="19" t="s">
        <v>4263</v>
      </c>
    </row>
    <row r="1644" spans="1:1" x14ac:dyDescent="0.25">
      <c r="A1644" s="19" t="s">
        <v>4264</v>
      </c>
    </row>
    <row r="1645" spans="1:1" x14ac:dyDescent="0.25">
      <c r="A1645" s="19" t="s">
        <v>4265</v>
      </c>
    </row>
    <row r="1646" spans="1:1" x14ac:dyDescent="0.25">
      <c r="A1646" s="19" t="s">
        <v>4266</v>
      </c>
    </row>
    <row r="1647" spans="1:1" x14ac:dyDescent="0.25">
      <c r="A1647" s="19" t="s">
        <v>4267</v>
      </c>
    </row>
    <row r="1648" spans="1:1" x14ac:dyDescent="0.25">
      <c r="A1648" s="19" t="s">
        <v>4268</v>
      </c>
    </row>
    <row r="1649" spans="1:1" x14ac:dyDescent="0.25">
      <c r="A1649" s="19" t="s">
        <v>4269</v>
      </c>
    </row>
    <row r="1650" spans="1:1" x14ac:dyDescent="0.25">
      <c r="A1650" s="19" t="s">
        <v>4270</v>
      </c>
    </row>
    <row r="1651" spans="1:1" x14ac:dyDescent="0.25">
      <c r="A1651" s="19" t="s">
        <v>4271</v>
      </c>
    </row>
    <row r="1652" spans="1:1" x14ac:dyDescent="0.25">
      <c r="A1652" s="19" t="s">
        <v>4272</v>
      </c>
    </row>
    <row r="1653" spans="1:1" x14ac:dyDescent="0.25">
      <c r="A1653" s="19" t="s">
        <v>4273</v>
      </c>
    </row>
    <row r="1654" spans="1:1" x14ac:dyDescent="0.25">
      <c r="A1654" s="19" t="s">
        <v>4274</v>
      </c>
    </row>
    <row r="1655" spans="1:1" x14ac:dyDescent="0.25">
      <c r="A1655" s="19" t="s">
        <v>4275</v>
      </c>
    </row>
    <row r="1656" spans="1:1" x14ac:dyDescent="0.25">
      <c r="A1656" s="19" t="s">
        <v>4276</v>
      </c>
    </row>
    <row r="1657" spans="1:1" x14ac:dyDescent="0.25">
      <c r="A1657" s="19" t="s">
        <v>4277</v>
      </c>
    </row>
    <row r="1658" spans="1:1" x14ac:dyDescent="0.25">
      <c r="A1658" s="19" t="s">
        <v>4278</v>
      </c>
    </row>
    <row r="1659" spans="1:1" x14ac:dyDescent="0.25">
      <c r="A1659" s="19" t="s">
        <v>4279</v>
      </c>
    </row>
    <row r="1660" spans="1:1" x14ac:dyDescent="0.25">
      <c r="A1660" s="19" t="s">
        <v>4280</v>
      </c>
    </row>
    <row r="1661" spans="1:1" x14ac:dyDescent="0.25">
      <c r="A1661" s="19" t="s">
        <v>4281</v>
      </c>
    </row>
    <row r="1662" spans="1:1" x14ac:dyDescent="0.25">
      <c r="A1662" s="19" t="s">
        <v>4282</v>
      </c>
    </row>
    <row r="1663" spans="1:1" x14ac:dyDescent="0.25">
      <c r="A1663" s="19" t="s">
        <v>4283</v>
      </c>
    </row>
    <row r="1664" spans="1:1" x14ac:dyDescent="0.25">
      <c r="A1664" s="19" t="s">
        <v>4284</v>
      </c>
    </row>
    <row r="1665" spans="1:1" x14ac:dyDescent="0.25">
      <c r="A1665" s="19" t="s">
        <v>4285</v>
      </c>
    </row>
    <row r="1666" spans="1:1" x14ac:dyDescent="0.25">
      <c r="A1666" s="19" t="s">
        <v>4286</v>
      </c>
    </row>
    <row r="1667" spans="1:1" x14ac:dyDescent="0.25">
      <c r="A1667" s="19" t="s">
        <v>4287</v>
      </c>
    </row>
    <row r="1668" spans="1:1" x14ac:dyDescent="0.25">
      <c r="A1668" s="19" t="s">
        <v>4288</v>
      </c>
    </row>
    <row r="1669" spans="1:1" x14ac:dyDescent="0.25">
      <c r="A1669" s="19" t="s">
        <v>4289</v>
      </c>
    </row>
    <row r="1670" spans="1:1" x14ac:dyDescent="0.25">
      <c r="A1670" s="19" t="s">
        <v>4290</v>
      </c>
    </row>
    <row r="1671" spans="1:1" x14ac:dyDescent="0.25">
      <c r="A1671" s="19" t="s">
        <v>4291</v>
      </c>
    </row>
    <row r="1672" spans="1:1" x14ac:dyDescent="0.25">
      <c r="A1672" s="19" t="s">
        <v>4292</v>
      </c>
    </row>
    <row r="1673" spans="1:1" x14ac:dyDescent="0.25">
      <c r="A1673" s="19" t="s">
        <v>4293</v>
      </c>
    </row>
    <row r="1674" spans="1:1" x14ac:dyDescent="0.25">
      <c r="A1674" s="19" t="s">
        <v>4294</v>
      </c>
    </row>
    <row r="1675" spans="1:1" x14ac:dyDescent="0.25">
      <c r="A1675" s="19" t="s">
        <v>4295</v>
      </c>
    </row>
    <row r="1676" spans="1:1" x14ac:dyDescent="0.25">
      <c r="A1676" s="19" t="s">
        <v>4296</v>
      </c>
    </row>
    <row r="1677" spans="1:1" x14ac:dyDescent="0.25">
      <c r="A1677" s="19" t="s">
        <v>4297</v>
      </c>
    </row>
    <row r="1678" spans="1:1" x14ac:dyDescent="0.25">
      <c r="A1678" s="19" t="s">
        <v>4298</v>
      </c>
    </row>
    <row r="1679" spans="1:1" x14ac:dyDescent="0.25">
      <c r="A1679" s="19" t="s">
        <v>4299</v>
      </c>
    </row>
    <row r="1680" spans="1:1" x14ac:dyDescent="0.25">
      <c r="A1680" s="19" t="s">
        <v>4300</v>
      </c>
    </row>
    <row r="1681" spans="1:1" x14ac:dyDescent="0.25">
      <c r="A1681" s="19" t="s">
        <v>4301</v>
      </c>
    </row>
    <row r="1682" spans="1:1" x14ac:dyDescent="0.25">
      <c r="A1682" s="19" t="s">
        <v>4302</v>
      </c>
    </row>
    <row r="1683" spans="1:1" x14ac:dyDescent="0.25">
      <c r="A1683" s="19" t="s">
        <v>4303</v>
      </c>
    </row>
    <row r="1684" spans="1:1" x14ac:dyDescent="0.25">
      <c r="A1684" s="19" t="s">
        <v>4304</v>
      </c>
    </row>
    <row r="1685" spans="1:1" x14ac:dyDescent="0.25">
      <c r="A1685" s="19" t="s">
        <v>4305</v>
      </c>
    </row>
    <row r="1686" spans="1:1" x14ac:dyDescent="0.25">
      <c r="A1686" s="19" t="s">
        <v>4306</v>
      </c>
    </row>
    <row r="1687" spans="1:1" x14ac:dyDescent="0.25">
      <c r="A1687" s="19" t="s">
        <v>4307</v>
      </c>
    </row>
    <row r="1688" spans="1:1" x14ac:dyDescent="0.25">
      <c r="A1688" s="19" t="s">
        <v>4308</v>
      </c>
    </row>
    <row r="1689" spans="1:1" x14ac:dyDescent="0.25">
      <c r="A1689" s="19" t="s">
        <v>4309</v>
      </c>
    </row>
    <row r="1690" spans="1:1" x14ac:dyDescent="0.25">
      <c r="A1690" s="19" t="s">
        <v>4310</v>
      </c>
    </row>
    <row r="1691" spans="1:1" x14ac:dyDescent="0.25">
      <c r="A1691" s="19" t="s">
        <v>4311</v>
      </c>
    </row>
    <row r="1692" spans="1:1" x14ac:dyDescent="0.25">
      <c r="A1692" s="19" t="s">
        <v>4312</v>
      </c>
    </row>
    <row r="1693" spans="1:1" x14ac:dyDescent="0.25">
      <c r="A1693" s="19" t="s">
        <v>4313</v>
      </c>
    </row>
    <row r="1694" spans="1:1" x14ac:dyDescent="0.25">
      <c r="A1694" s="19" t="s">
        <v>4314</v>
      </c>
    </row>
    <row r="1695" spans="1:1" x14ac:dyDescent="0.25">
      <c r="A1695" s="19" t="s">
        <v>4315</v>
      </c>
    </row>
    <row r="1696" spans="1:1" x14ac:dyDescent="0.25">
      <c r="A1696" s="19" t="s">
        <v>4316</v>
      </c>
    </row>
    <row r="1697" spans="1:1" x14ac:dyDescent="0.25">
      <c r="A1697" s="19" t="s">
        <v>4317</v>
      </c>
    </row>
    <row r="1698" spans="1:1" x14ac:dyDescent="0.25">
      <c r="A1698" s="19" t="s">
        <v>4318</v>
      </c>
    </row>
    <row r="1699" spans="1:1" x14ac:dyDescent="0.25">
      <c r="A1699" s="19" t="s">
        <v>4319</v>
      </c>
    </row>
    <row r="1700" spans="1:1" x14ac:dyDescent="0.25">
      <c r="A1700" s="19" t="s">
        <v>4320</v>
      </c>
    </row>
    <row r="1701" spans="1:1" x14ac:dyDescent="0.25">
      <c r="A1701" s="19" t="s">
        <v>4321</v>
      </c>
    </row>
    <row r="1702" spans="1:1" x14ac:dyDescent="0.25">
      <c r="A1702" s="19" t="s">
        <v>4322</v>
      </c>
    </row>
    <row r="1703" spans="1:1" x14ac:dyDescent="0.25">
      <c r="A1703" s="19" t="s">
        <v>4323</v>
      </c>
    </row>
    <row r="1704" spans="1:1" x14ac:dyDescent="0.25">
      <c r="A1704" s="19" t="s">
        <v>4324</v>
      </c>
    </row>
    <row r="1705" spans="1:1" x14ac:dyDescent="0.25">
      <c r="A1705" s="19" t="s">
        <v>4325</v>
      </c>
    </row>
    <row r="1706" spans="1:1" x14ac:dyDescent="0.25">
      <c r="A1706" s="19" t="s">
        <v>4325</v>
      </c>
    </row>
    <row r="1707" spans="1:1" x14ac:dyDescent="0.25">
      <c r="A1707" s="19" t="s">
        <v>4325</v>
      </c>
    </row>
    <row r="1708" spans="1:1" x14ac:dyDescent="0.25">
      <c r="A1708" s="19" t="s">
        <v>4326</v>
      </c>
    </row>
    <row r="1709" spans="1:1" x14ac:dyDescent="0.25">
      <c r="A1709" s="19" t="s">
        <v>4327</v>
      </c>
    </row>
    <row r="1710" spans="1:1" x14ac:dyDescent="0.25">
      <c r="A1710" s="19" t="s">
        <v>4328</v>
      </c>
    </row>
    <row r="1711" spans="1:1" x14ac:dyDescent="0.25">
      <c r="A1711" s="19" t="s">
        <v>4329</v>
      </c>
    </row>
    <row r="1712" spans="1:1" x14ac:dyDescent="0.25">
      <c r="A1712" s="19" t="s">
        <v>4330</v>
      </c>
    </row>
    <row r="1713" spans="1:1" x14ac:dyDescent="0.25">
      <c r="A1713" s="19" t="s">
        <v>4331</v>
      </c>
    </row>
    <row r="1714" spans="1:1" x14ac:dyDescent="0.25">
      <c r="A1714" s="19" t="s">
        <v>4332</v>
      </c>
    </row>
    <row r="1715" spans="1:1" x14ac:dyDescent="0.25">
      <c r="A1715" s="19" t="s">
        <v>4333</v>
      </c>
    </row>
    <row r="1716" spans="1:1" x14ac:dyDescent="0.25">
      <c r="A1716" s="19" t="s">
        <v>4334</v>
      </c>
    </row>
    <row r="1717" spans="1:1" x14ac:dyDescent="0.25">
      <c r="A1717" s="19" t="s">
        <v>4335</v>
      </c>
    </row>
    <row r="1718" spans="1:1" x14ac:dyDescent="0.25">
      <c r="A1718" s="19" t="s">
        <v>4336</v>
      </c>
    </row>
    <row r="1719" spans="1:1" x14ac:dyDescent="0.25">
      <c r="A1719" s="19" t="s">
        <v>4337</v>
      </c>
    </row>
    <row r="1720" spans="1:1" x14ac:dyDescent="0.25">
      <c r="A1720" s="19" t="s">
        <v>4338</v>
      </c>
    </row>
    <row r="1721" spans="1:1" x14ac:dyDescent="0.25">
      <c r="A1721" s="19" t="s">
        <v>4339</v>
      </c>
    </row>
    <row r="1722" spans="1:1" x14ac:dyDescent="0.25">
      <c r="A1722" s="19" t="s">
        <v>4340</v>
      </c>
    </row>
    <row r="1723" spans="1:1" x14ac:dyDescent="0.25">
      <c r="A1723" s="19" t="s">
        <v>4341</v>
      </c>
    </row>
    <row r="1724" spans="1:1" x14ac:dyDescent="0.25">
      <c r="A1724" s="19" t="s">
        <v>4342</v>
      </c>
    </row>
    <row r="1725" spans="1:1" x14ac:dyDescent="0.25">
      <c r="A1725" s="19" t="s">
        <v>4343</v>
      </c>
    </row>
    <row r="1726" spans="1:1" x14ac:dyDescent="0.25">
      <c r="A1726" s="19" t="s">
        <v>4344</v>
      </c>
    </row>
    <row r="1727" spans="1:1" x14ac:dyDescent="0.25">
      <c r="A1727" s="19" t="s">
        <v>4345</v>
      </c>
    </row>
    <row r="1728" spans="1:1" x14ac:dyDescent="0.25">
      <c r="A1728" s="19" t="s">
        <v>4346</v>
      </c>
    </row>
    <row r="1729" spans="1:1" x14ac:dyDescent="0.25">
      <c r="A1729" s="19" t="s">
        <v>4347</v>
      </c>
    </row>
    <row r="1730" spans="1:1" x14ac:dyDescent="0.25">
      <c r="A1730" s="19" t="s">
        <v>4348</v>
      </c>
    </row>
    <row r="1731" spans="1:1" x14ac:dyDescent="0.25">
      <c r="A1731" s="19" t="s">
        <v>4349</v>
      </c>
    </row>
    <row r="1732" spans="1:1" x14ac:dyDescent="0.25">
      <c r="A1732" s="19" t="s">
        <v>4350</v>
      </c>
    </row>
    <row r="1733" spans="1:1" x14ac:dyDescent="0.25">
      <c r="A1733" s="19" t="s">
        <v>4351</v>
      </c>
    </row>
    <row r="1734" spans="1:1" x14ac:dyDescent="0.25">
      <c r="A1734" s="19" t="s">
        <v>4352</v>
      </c>
    </row>
    <row r="1735" spans="1:1" x14ac:dyDescent="0.25">
      <c r="A1735" s="19" t="s">
        <v>4353</v>
      </c>
    </row>
    <row r="1736" spans="1:1" x14ac:dyDescent="0.25">
      <c r="A1736" s="19" t="s">
        <v>4354</v>
      </c>
    </row>
    <row r="1737" spans="1:1" x14ac:dyDescent="0.25">
      <c r="A1737" s="19" t="s">
        <v>4355</v>
      </c>
    </row>
    <row r="1738" spans="1:1" x14ac:dyDescent="0.25">
      <c r="A1738" s="19" t="s">
        <v>4356</v>
      </c>
    </row>
    <row r="1739" spans="1:1" x14ac:dyDescent="0.25">
      <c r="A1739" s="19" t="s">
        <v>4357</v>
      </c>
    </row>
    <row r="1740" spans="1:1" x14ac:dyDescent="0.25">
      <c r="A1740" s="19" t="s">
        <v>4358</v>
      </c>
    </row>
    <row r="1741" spans="1:1" x14ac:dyDescent="0.25">
      <c r="A1741" s="19" t="s">
        <v>4359</v>
      </c>
    </row>
    <row r="1742" spans="1:1" x14ac:dyDescent="0.25">
      <c r="A1742" s="19" t="s">
        <v>4360</v>
      </c>
    </row>
    <row r="1743" spans="1:1" x14ac:dyDescent="0.25">
      <c r="A1743" s="19" t="s">
        <v>4361</v>
      </c>
    </row>
    <row r="1744" spans="1:1" x14ac:dyDescent="0.25">
      <c r="A1744" s="19" t="s">
        <v>4362</v>
      </c>
    </row>
    <row r="1745" spans="1:1" x14ac:dyDescent="0.25">
      <c r="A1745" s="19" t="s">
        <v>4363</v>
      </c>
    </row>
    <row r="1746" spans="1:1" x14ac:dyDescent="0.25">
      <c r="A1746" s="19" t="s">
        <v>4364</v>
      </c>
    </row>
    <row r="1747" spans="1:1" x14ac:dyDescent="0.25">
      <c r="A1747" s="19" t="s">
        <v>4365</v>
      </c>
    </row>
    <row r="1748" spans="1:1" x14ac:dyDescent="0.25">
      <c r="A1748" s="19" t="s">
        <v>4366</v>
      </c>
    </row>
    <row r="1749" spans="1:1" x14ac:dyDescent="0.25">
      <c r="A1749" s="19" t="s">
        <v>4367</v>
      </c>
    </row>
    <row r="1750" spans="1:1" x14ac:dyDescent="0.25">
      <c r="A1750" s="19" t="s">
        <v>4368</v>
      </c>
    </row>
    <row r="1751" spans="1:1" x14ac:dyDescent="0.25">
      <c r="A1751" s="19" t="s">
        <v>4369</v>
      </c>
    </row>
    <row r="1752" spans="1:1" x14ac:dyDescent="0.25">
      <c r="A1752" s="19" t="s">
        <v>4370</v>
      </c>
    </row>
    <row r="1753" spans="1:1" x14ac:dyDescent="0.25">
      <c r="A1753" s="19" t="s">
        <v>4370</v>
      </c>
    </row>
    <row r="1754" spans="1:1" x14ac:dyDescent="0.25">
      <c r="A1754" s="19" t="s">
        <v>4371</v>
      </c>
    </row>
    <row r="1755" spans="1:1" x14ac:dyDescent="0.25">
      <c r="A1755" s="19" t="s">
        <v>4372</v>
      </c>
    </row>
    <row r="1756" spans="1:1" x14ac:dyDescent="0.25">
      <c r="A1756" s="19" t="s">
        <v>4373</v>
      </c>
    </row>
    <row r="1757" spans="1:1" x14ac:dyDescent="0.25">
      <c r="A1757" s="19" t="s">
        <v>4374</v>
      </c>
    </row>
    <row r="1758" spans="1:1" x14ac:dyDescent="0.25">
      <c r="A1758" s="19" t="s">
        <v>4375</v>
      </c>
    </row>
    <row r="1759" spans="1:1" x14ac:dyDescent="0.25">
      <c r="A1759" s="19" t="s">
        <v>4376</v>
      </c>
    </row>
    <row r="1760" spans="1:1" x14ac:dyDescent="0.25">
      <c r="A1760" s="19" t="s">
        <v>4377</v>
      </c>
    </row>
    <row r="1761" spans="1:1" x14ac:dyDescent="0.25">
      <c r="A1761" s="19" t="s">
        <v>4378</v>
      </c>
    </row>
    <row r="1762" spans="1:1" x14ac:dyDescent="0.25">
      <c r="A1762" s="19" t="s">
        <v>4379</v>
      </c>
    </row>
    <row r="1763" spans="1:1" x14ac:dyDescent="0.25">
      <c r="A1763" s="19" t="s">
        <v>4380</v>
      </c>
    </row>
    <row r="1764" spans="1:1" x14ac:dyDescent="0.25">
      <c r="A1764" s="19" t="s">
        <v>4381</v>
      </c>
    </row>
    <row r="1765" spans="1:1" x14ac:dyDescent="0.25">
      <c r="A1765" s="19" t="s">
        <v>4382</v>
      </c>
    </row>
    <row r="1766" spans="1:1" x14ac:dyDescent="0.25">
      <c r="A1766" s="19" t="s">
        <v>4383</v>
      </c>
    </row>
    <row r="1767" spans="1:1" x14ac:dyDescent="0.25">
      <c r="A1767" s="19" t="s">
        <v>4384</v>
      </c>
    </row>
    <row r="1768" spans="1:1" x14ac:dyDescent="0.25">
      <c r="A1768" s="19" t="s">
        <v>4385</v>
      </c>
    </row>
    <row r="1769" spans="1:1" x14ac:dyDescent="0.25">
      <c r="A1769" s="19" t="s">
        <v>4386</v>
      </c>
    </row>
    <row r="1770" spans="1:1" x14ac:dyDescent="0.25">
      <c r="A1770" s="19" t="s">
        <v>4387</v>
      </c>
    </row>
    <row r="1771" spans="1:1" x14ac:dyDescent="0.25">
      <c r="A1771" s="19" t="s">
        <v>4388</v>
      </c>
    </row>
    <row r="1772" spans="1:1" x14ac:dyDescent="0.25">
      <c r="A1772" s="19" t="s">
        <v>4389</v>
      </c>
    </row>
    <row r="1773" spans="1:1" x14ac:dyDescent="0.25">
      <c r="A1773" s="19" t="s">
        <v>4390</v>
      </c>
    </row>
    <row r="1774" spans="1:1" x14ac:dyDescent="0.25">
      <c r="A1774" s="19" t="s">
        <v>4391</v>
      </c>
    </row>
    <row r="1775" spans="1:1" x14ac:dyDescent="0.25">
      <c r="A1775" s="19" t="s">
        <v>4392</v>
      </c>
    </row>
    <row r="1776" spans="1:1" x14ac:dyDescent="0.25">
      <c r="A1776" s="19" t="s">
        <v>4393</v>
      </c>
    </row>
    <row r="1777" spans="1:1" x14ac:dyDescent="0.25">
      <c r="A1777" s="19" t="s">
        <v>4394</v>
      </c>
    </row>
    <row r="1778" spans="1:1" x14ac:dyDescent="0.25">
      <c r="A1778" s="19" t="s">
        <v>4395</v>
      </c>
    </row>
    <row r="1779" spans="1:1" x14ac:dyDescent="0.25">
      <c r="A1779" s="19" t="s">
        <v>4396</v>
      </c>
    </row>
    <row r="1780" spans="1:1" x14ac:dyDescent="0.25">
      <c r="A1780" s="19" t="s">
        <v>4397</v>
      </c>
    </row>
    <row r="1781" spans="1:1" x14ac:dyDescent="0.25">
      <c r="A1781" s="19" t="s">
        <v>4398</v>
      </c>
    </row>
    <row r="1782" spans="1:1" x14ac:dyDescent="0.25">
      <c r="A1782" s="19" t="s">
        <v>4399</v>
      </c>
    </row>
    <row r="1783" spans="1:1" x14ac:dyDescent="0.25">
      <c r="A1783" s="19" t="s">
        <v>4399</v>
      </c>
    </row>
    <row r="1784" spans="1:1" x14ac:dyDescent="0.25">
      <c r="A1784" s="19" t="s">
        <v>4400</v>
      </c>
    </row>
    <row r="1785" spans="1:1" x14ac:dyDescent="0.25">
      <c r="A1785" s="19" t="s">
        <v>4401</v>
      </c>
    </row>
    <row r="1786" spans="1:1" x14ac:dyDescent="0.25">
      <c r="A1786" s="19" t="s">
        <v>4402</v>
      </c>
    </row>
    <row r="1787" spans="1:1" x14ac:dyDescent="0.25">
      <c r="A1787" s="19" t="s">
        <v>4403</v>
      </c>
    </row>
    <row r="1788" spans="1:1" x14ac:dyDescent="0.25">
      <c r="A1788" s="19" t="s">
        <v>4404</v>
      </c>
    </row>
    <row r="1789" spans="1:1" x14ac:dyDescent="0.25">
      <c r="A1789" s="19" t="s">
        <v>4405</v>
      </c>
    </row>
    <row r="1790" spans="1:1" x14ac:dyDescent="0.25">
      <c r="A1790" s="19" t="s">
        <v>4406</v>
      </c>
    </row>
    <row r="1791" spans="1:1" x14ac:dyDescent="0.25">
      <c r="A1791" s="19" t="s">
        <v>4407</v>
      </c>
    </row>
    <row r="1792" spans="1:1" x14ac:dyDescent="0.25">
      <c r="A1792" s="19" t="s">
        <v>4408</v>
      </c>
    </row>
    <row r="1793" spans="1:1" x14ac:dyDescent="0.25">
      <c r="A1793" s="19" t="s">
        <v>4409</v>
      </c>
    </row>
    <row r="1794" spans="1:1" x14ac:dyDescent="0.25">
      <c r="A1794" s="19" t="s">
        <v>4410</v>
      </c>
    </row>
    <row r="1795" spans="1:1" x14ac:dyDescent="0.25">
      <c r="A1795" s="19" t="s">
        <v>4411</v>
      </c>
    </row>
    <row r="1796" spans="1:1" x14ac:dyDescent="0.25">
      <c r="A1796" s="19" t="s">
        <v>4412</v>
      </c>
    </row>
    <row r="1797" spans="1:1" x14ac:dyDescent="0.25">
      <c r="A1797" s="19" t="s">
        <v>4413</v>
      </c>
    </row>
    <row r="1798" spans="1:1" x14ac:dyDescent="0.25">
      <c r="A1798" s="19" t="s">
        <v>4414</v>
      </c>
    </row>
    <row r="1799" spans="1:1" x14ac:dyDescent="0.25">
      <c r="A1799" s="19" t="s">
        <v>4415</v>
      </c>
    </row>
    <row r="1800" spans="1:1" x14ac:dyDescent="0.25">
      <c r="A1800" s="19" t="s">
        <v>4416</v>
      </c>
    </row>
    <row r="1801" spans="1:1" x14ac:dyDescent="0.25">
      <c r="A1801" s="19" t="s">
        <v>4417</v>
      </c>
    </row>
    <row r="1802" spans="1:1" x14ac:dyDescent="0.25">
      <c r="A1802" s="19" t="s">
        <v>4418</v>
      </c>
    </row>
    <row r="1803" spans="1:1" x14ac:dyDescent="0.25">
      <c r="A1803" s="19" t="s">
        <v>4419</v>
      </c>
    </row>
    <row r="1804" spans="1:1" x14ac:dyDescent="0.25">
      <c r="A1804" s="19" t="s">
        <v>4420</v>
      </c>
    </row>
    <row r="1805" spans="1:1" x14ac:dyDescent="0.25">
      <c r="A1805" s="19" t="s">
        <v>4421</v>
      </c>
    </row>
    <row r="1806" spans="1:1" x14ac:dyDescent="0.25">
      <c r="A1806" s="19" t="s">
        <v>4422</v>
      </c>
    </row>
    <row r="1807" spans="1:1" x14ac:dyDescent="0.25">
      <c r="A1807" s="19" t="s">
        <v>4423</v>
      </c>
    </row>
    <row r="1808" spans="1:1" x14ac:dyDescent="0.25">
      <c r="A1808" s="19" t="s">
        <v>4424</v>
      </c>
    </row>
    <row r="1809" spans="1:1" x14ac:dyDescent="0.25">
      <c r="A1809" s="19" t="s">
        <v>4425</v>
      </c>
    </row>
    <row r="1810" spans="1:1" x14ac:dyDescent="0.25">
      <c r="A1810" s="19" t="s">
        <v>4426</v>
      </c>
    </row>
    <row r="1811" spans="1:1" x14ac:dyDescent="0.25">
      <c r="A1811" s="19" t="s">
        <v>4427</v>
      </c>
    </row>
    <row r="1812" spans="1:1" x14ac:dyDescent="0.25">
      <c r="A1812" s="19" t="s">
        <v>4428</v>
      </c>
    </row>
    <row r="1813" spans="1:1" x14ac:dyDescent="0.25">
      <c r="A1813" s="19" t="s">
        <v>4429</v>
      </c>
    </row>
    <row r="1814" spans="1:1" x14ac:dyDescent="0.25">
      <c r="A1814" s="19" t="s">
        <v>4430</v>
      </c>
    </row>
    <row r="1815" spans="1:1" x14ac:dyDescent="0.25">
      <c r="A1815" s="19" t="s">
        <v>4431</v>
      </c>
    </row>
    <row r="1816" spans="1:1" x14ac:dyDescent="0.25">
      <c r="A1816" s="19" t="s">
        <v>4432</v>
      </c>
    </row>
    <row r="1817" spans="1:1" x14ac:dyDescent="0.25">
      <c r="A1817" s="19" t="s">
        <v>4433</v>
      </c>
    </row>
    <row r="1818" spans="1:1" x14ac:dyDescent="0.25">
      <c r="A1818" s="19" t="s">
        <v>4434</v>
      </c>
    </row>
    <row r="1819" spans="1:1" x14ac:dyDescent="0.25">
      <c r="A1819" s="19" t="s">
        <v>4435</v>
      </c>
    </row>
    <row r="1820" spans="1:1" x14ac:dyDescent="0.25">
      <c r="A1820" s="19" t="s">
        <v>4436</v>
      </c>
    </row>
    <row r="1821" spans="1:1" x14ac:dyDescent="0.25">
      <c r="A1821" s="19" t="s">
        <v>4437</v>
      </c>
    </row>
    <row r="1822" spans="1:1" x14ac:dyDescent="0.25">
      <c r="A1822" s="19" t="s">
        <v>4438</v>
      </c>
    </row>
    <row r="1823" spans="1:1" x14ac:dyDescent="0.25">
      <c r="A1823" s="19" t="s">
        <v>4439</v>
      </c>
    </row>
    <row r="1824" spans="1:1" x14ac:dyDescent="0.25">
      <c r="A1824" s="19" t="s">
        <v>4440</v>
      </c>
    </row>
    <row r="1825" spans="1:1" x14ac:dyDescent="0.25">
      <c r="A1825" s="19" t="s">
        <v>4441</v>
      </c>
    </row>
    <row r="1826" spans="1:1" x14ac:dyDescent="0.25">
      <c r="A1826" s="19" t="s">
        <v>4442</v>
      </c>
    </row>
    <row r="1827" spans="1:1" x14ac:dyDescent="0.25">
      <c r="A1827" s="19" t="s">
        <v>4443</v>
      </c>
    </row>
    <row r="1828" spans="1:1" x14ac:dyDescent="0.25">
      <c r="A1828" s="19" t="s">
        <v>4444</v>
      </c>
    </row>
    <row r="1829" spans="1:1" x14ac:dyDescent="0.25">
      <c r="A1829" s="19" t="s">
        <v>4445</v>
      </c>
    </row>
    <row r="1830" spans="1:1" x14ac:dyDescent="0.25">
      <c r="A1830" s="19" t="s">
        <v>4446</v>
      </c>
    </row>
    <row r="1831" spans="1:1" x14ac:dyDescent="0.25">
      <c r="A1831" s="19" t="s">
        <v>4447</v>
      </c>
    </row>
    <row r="1832" spans="1:1" x14ac:dyDescent="0.25">
      <c r="A1832" s="19" t="s">
        <v>4448</v>
      </c>
    </row>
    <row r="1833" spans="1:1" x14ac:dyDescent="0.25">
      <c r="A1833" s="19" t="s">
        <v>4449</v>
      </c>
    </row>
    <row r="1834" spans="1:1" x14ac:dyDescent="0.25">
      <c r="A1834" s="19" t="s">
        <v>4450</v>
      </c>
    </row>
    <row r="1835" spans="1:1" x14ac:dyDescent="0.25">
      <c r="A1835" s="19" t="s">
        <v>4451</v>
      </c>
    </row>
    <row r="1836" spans="1:1" x14ac:dyDescent="0.25">
      <c r="A1836" s="19" t="s">
        <v>4452</v>
      </c>
    </row>
    <row r="1837" spans="1:1" x14ac:dyDescent="0.25">
      <c r="A1837" s="19" t="s">
        <v>4453</v>
      </c>
    </row>
    <row r="1838" spans="1:1" x14ac:dyDescent="0.25">
      <c r="A1838" s="19" t="s">
        <v>4454</v>
      </c>
    </row>
    <row r="1839" spans="1:1" x14ac:dyDescent="0.25">
      <c r="A1839" s="19" t="s">
        <v>4455</v>
      </c>
    </row>
    <row r="1840" spans="1:1" x14ac:dyDescent="0.25">
      <c r="A1840" s="19" t="s">
        <v>4456</v>
      </c>
    </row>
    <row r="1841" spans="1:1" x14ac:dyDescent="0.25">
      <c r="A1841" s="19" t="s">
        <v>4457</v>
      </c>
    </row>
    <row r="1842" spans="1:1" x14ac:dyDescent="0.25">
      <c r="A1842" s="19" t="s">
        <v>4458</v>
      </c>
    </row>
    <row r="1843" spans="1:1" x14ac:dyDescent="0.25">
      <c r="A1843" s="19" t="s">
        <v>4459</v>
      </c>
    </row>
    <row r="1844" spans="1:1" x14ac:dyDescent="0.25">
      <c r="A1844" s="19" t="s">
        <v>4460</v>
      </c>
    </row>
    <row r="1845" spans="1:1" x14ac:dyDescent="0.25">
      <c r="A1845" s="19" t="s">
        <v>4461</v>
      </c>
    </row>
    <row r="1846" spans="1:1" x14ac:dyDescent="0.25">
      <c r="A1846" s="19" t="s">
        <v>4462</v>
      </c>
    </row>
    <row r="1847" spans="1:1" x14ac:dyDescent="0.25">
      <c r="A1847" s="19" t="s">
        <v>4463</v>
      </c>
    </row>
    <row r="1848" spans="1:1" x14ac:dyDescent="0.25">
      <c r="A1848" s="19" t="s">
        <v>4464</v>
      </c>
    </row>
    <row r="1849" spans="1:1" x14ac:dyDescent="0.25">
      <c r="A1849" s="19" t="s">
        <v>4465</v>
      </c>
    </row>
    <row r="1850" spans="1:1" x14ac:dyDescent="0.25">
      <c r="A1850" s="19" t="s">
        <v>4466</v>
      </c>
    </row>
    <row r="1851" spans="1:1" x14ac:dyDescent="0.25">
      <c r="A1851" s="19" t="s">
        <v>4467</v>
      </c>
    </row>
    <row r="1852" spans="1:1" x14ac:dyDescent="0.25">
      <c r="A1852" s="19" t="s">
        <v>4468</v>
      </c>
    </row>
    <row r="1853" spans="1:1" x14ac:dyDescent="0.25">
      <c r="A1853" s="19" t="s">
        <v>4469</v>
      </c>
    </row>
    <row r="1854" spans="1:1" x14ac:dyDescent="0.25">
      <c r="A1854" s="19" t="s">
        <v>4470</v>
      </c>
    </row>
    <row r="1855" spans="1:1" x14ac:dyDescent="0.25">
      <c r="A1855" s="19" t="s">
        <v>4471</v>
      </c>
    </row>
    <row r="1856" spans="1:1" x14ac:dyDescent="0.25">
      <c r="A1856" s="19" t="s">
        <v>4472</v>
      </c>
    </row>
    <row r="1857" spans="1:1" x14ac:dyDescent="0.25">
      <c r="A1857" s="19" t="s">
        <v>4473</v>
      </c>
    </row>
    <row r="1858" spans="1:1" x14ac:dyDescent="0.25">
      <c r="A1858" s="19" t="s">
        <v>4474</v>
      </c>
    </row>
    <row r="1859" spans="1:1" x14ac:dyDescent="0.25">
      <c r="A1859" s="19" t="s">
        <v>4475</v>
      </c>
    </row>
    <row r="1860" spans="1:1" x14ac:dyDescent="0.25">
      <c r="A1860" s="19" t="s">
        <v>4476</v>
      </c>
    </row>
    <row r="1861" spans="1:1" x14ac:dyDescent="0.25">
      <c r="A1861" s="19" t="s">
        <v>4477</v>
      </c>
    </row>
    <row r="1862" spans="1:1" x14ac:dyDescent="0.25">
      <c r="A1862" s="19" t="s">
        <v>4478</v>
      </c>
    </row>
    <row r="1863" spans="1:1" x14ac:dyDescent="0.25">
      <c r="A1863" s="19" t="s">
        <v>4479</v>
      </c>
    </row>
    <row r="1864" spans="1:1" x14ac:dyDescent="0.25">
      <c r="A1864" s="19" t="s">
        <v>4480</v>
      </c>
    </row>
    <row r="1865" spans="1:1" x14ac:dyDescent="0.25">
      <c r="A1865" s="19" t="s">
        <v>4481</v>
      </c>
    </row>
    <row r="1866" spans="1:1" x14ac:dyDescent="0.25">
      <c r="A1866" s="19" t="s">
        <v>4482</v>
      </c>
    </row>
    <row r="1867" spans="1:1" x14ac:dyDescent="0.25">
      <c r="A1867" s="19" t="s">
        <v>4483</v>
      </c>
    </row>
    <row r="1868" spans="1:1" x14ac:dyDescent="0.25">
      <c r="A1868" s="19" t="s">
        <v>4484</v>
      </c>
    </row>
    <row r="1869" spans="1:1" x14ac:dyDescent="0.25">
      <c r="A1869" s="19" t="s">
        <v>4485</v>
      </c>
    </row>
    <row r="1870" spans="1:1" x14ac:dyDescent="0.25">
      <c r="A1870" s="19" t="s">
        <v>4486</v>
      </c>
    </row>
    <row r="1871" spans="1:1" x14ac:dyDescent="0.25">
      <c r="A1871" s="19" t="s">
        <v>4487</v>
      </c>
    </row>
    <row r="1872" spans="1:1" x14ac:dyDescent="0.25">
      <c r="A1872" s="19" t="s">
        <v>4488</v>
      </c>
    </row>
    <row r="1873" spans="1:1" x14ac:dyDescent="0.25">
      <c r="A1873" s="19" t="s">
        <v>4489</v>
      </c>
    </row>
    <row r="1874" spans="1:1" x14ac:dyDescent="0.25">
      <c r="A1874" s="19" t="s">
        <v>4490</v>
      </c>
    </row>
    <row r="1875" spans="1:1" x14ac:dyDescent="0.25">
      <c r="A1875" s="19" t="s">
        <v>4491</v>
      </c>
    </row>
    <row r="1876" spans="1:1" x14ac:dyDescent="0.25">
      <c r="A1876" s="19" t="s">
        <v>4492</v>
      </c>
    </row>
    <row r="1877" spans="1:1" x14ac:dyDescent="0.25">
      <c r="A1877" s="19" t="s">
        <v>4493</v>
      </c>
    </row>
    <row r="1878" spans="1:1" x14ac:dyDescent="0.25">
      <c r="A1878" s="19" t="s">
        <v>4494</v>
      </c>
    </row>
    <row r="1879" spans="1:1" x14ac:dyDescent="0.25">
      <c r="A1879" s="19" t="s">
        <v>4495</v>
      </c>
    </row>
    <row r="1880" spans="1:1" x14ac:dyDescent="0.25">
      <c r="A1880" s="19" t="s">
        <v>4496</v>
      </c>
    </row>
    <row r="1881" spans="1:1" x14ac:dyDescent="0.25">
      <c r="A1881" s="19" t="s">
        <v>4497</v>
      </c>
    </row>
    <row r="1882" spans="1:1" x14ac:dyDescent="0.25">
      <c r="A1882" s="19" t="s">
        <v>4498</v>
      </c>
    </row>
    <row r="1883" spans="1:1" x14ac:dyDescent="0.25">
      <c r="A1883" s="19" t="s">
        <v>4499</v>
      </c>
    </row>
    <row r="1884" spans="1:1" x14ac:dyDescent="0.25">
      <c r="A1884" s="19" t="s">
        <v>4500</v>
      </c>
    </row>
    <row r="1885" spans="1:1" x14ac:dyDescent="0.25">
      <c r="A1885" s="19" t="s">
        <v>4501</v>
      </c>
    </row>
    <row r="1886" spans="1:1" x14ac:dyDescent="0.25">
      <c r="A1886" s="19" t="s">
        <v>4502</v>
      </c>
    </row>
    <row r="1887" spans="1:1" x14ac:dyDescent="0.25">
      <c r="A1887" s="19" t="s">
        <v>4503</v>
      </c>
    </row>
    <row r="1888" spans="1:1" x14ac:dyDescent="0.25">
      <c r="A1888" s="19" t="s">
        <v>4504</v>
      </c>
    </row>
    <row r="1889" spans="1:1" x14ac:dyDescent="0.25">
      <c r="A1889" s="19" t="s">
        <v>4505</v>
      </c>
    </row>
    <row r="1890" spans="1:1" x14ac:dyDescent="0.25">
      <c r="A1890" s="19" t="s">
        <v>4506</v>
      </c>
    </row>
    <row r="1891" spans="1:1" x14ac:dyDescent="0.25">
      <c r="A1891" s="19" t="s">
        <v>4507</v>
      </c>
    </row>
    <row r="1892" spans="1:1" x14ac:dyDescent="0.25">
      <c r="A1892" s="19" t="s">
        <v>4508</v>
      </c>
    </row>
    <row r="1893" spans="1:1" x14ac:dyDescent="0.25">
      <c r="A1893" s="19" t="s">
        <v>4509</v>
      </c>
    </row>
    <row r="1894" spans="1:1" x14ac:dyDescent="0.25">
      <c r="A1894" s="19" t="s">
        <v>4510</v>
      </c>
    </row>
    <row r="1895" spans="1:1" x14ac:dyDescent="0.25">
      <c r="A1895" s="19" t="s">
        <v>4511</v>
      </c>
    </row>
    <row r="1896" spans="1:1" x14ac:dyDescent="0.25">
      <c r="A1896" s="19" t="s">
        <v>4512</v>
      </c>
    </row>
    <row r="1897" spans="1:1" x14ac:dyDescent="0.25">
      <c r="A1897" s="19" t="s">
        <v>4513</v>
      </c>
    </row>
    <row r="1898" spans="1:1" x14ac:dyDescent="0.25">
      <c r="A1898" s="19" t="s">
        <v>4514</v>
      </c>
    </row>
    <row r="1899" spans="1:1" x14ac:dyDescent="0.25">
      <c r="A1899" s="19" t="s">
        <v>4515</v>
      </c>
    </row>
    <row r="1900" spans="1:1" x14ac:dyDescent="0.25">
      <c r="A1900" s="19" t="s">
        <v>4516</v>
      </c>
    </row>
    <row r="1901" spans="1:1" x14ac:dyDescent="0.25">
      <c r="A1901" s="19" t="s">
        <v>4517</v>
      </c>
    </row>
    <row r="1902" spans="1:1" x14ac:dyDescent="0.25">
      <c r="A1902" s="19" t="s">
        <v>4518</v>
      </c>
    </row>
    <row r="1903" spans="1:1" x14ac:dyDescent="0.25">
      <c r="A1903" s="19" t="s">
        <v>4519</v>
      </c>
    </row>
    <row r="1904" spans="1:1" x14ac:dyDescent="0.25">
      <c r="A1904" s="19" t="s">
        <v>4520</v>
      </c>
    </row>
    <row r="1905" spans="1:1" x14ac:dyDescent="0.25">
      <c r="A1905" s="19" t="s">
        <v>4521</v>
      </c>
    </row>
    <row r="1906" spans="1:1" x14ac:dyDescent="0.25">
      <c r="A1906" s="19" t="s">
        <v>4522</v>
      </c>
    </row>
    <row r="1907" spans="1:1" x14ac:dyDescent="0.25">
      <c r="A1907" s="19" t="s">
        <v>4523</v>
      </c>
    </row>
    <row r="1908" spans="1:1" x14ac:dyDescent="0.25">
      <c r="A1908" s="19" t="s">
        <v>4524</v>
      </c>
    </row>
    <row r="1909" spans="1:1" x14ac:dyDescent="0.25">
      <c r="A1909" s="19" t="s">
        <v>4525</v>
      </c>
    </row>
    <row r="1910" spans="1:1" x14ac:dyDescent="0.25">
      <c r="A1910" s="19" t="s">
        <v>4526</v>
      </c>
    </row>
    <row r="1911" spans="1:1" x14ac:dyDescent="0.25">
      <c r="A1911" s="19" t="s">
        <v>4527</v>
      </c>
    </row>
    <row r="1912" spans="1:1" x14ac:dyDescent="0.25">
      <c r="A1912" s="19" t="s">
        <v>4528</v>
      </c>
    </row>
    <row r="1913" spans="1:1" x14ac:dyDescent="0.25">
      <c r="A1913" s="19" t="s">
        <v>4529</v>
      </c>
    </row>
    <row r="1914" spans="1:1" x14ac:dyDescent="0.25">
      <c r="A1914" s="19" t="s">
        <v>4530</v>
      </c>
    </row>
    <row r="1915" spans="1:1" x14ac:dyDescent="0.25">
      <c r="A1915" s="19" t="s">
        <v>4531</v>
      </c>
    </row>
    <row r="1916" spans="1:1" x14ac:dyDescent="0.25">
      <c r="A1916" s="19" t="s">
        <v>4532</v>
      </c>
    </row>
    <row r="1917" spans="1:1" x14ac:dyDescent="0.25">
      <c r="A1917" s="19" t="s">
        <v>4533</v>
      </c>
    </row>
    <row r="1918" spans="1:1" x14ac:dyDescent="0.25">
      <c r="A1918" s="19" t="s">
        <v>4534</v>
      </c>
    </row>
    <row r="1919" spans="1:1" x14ac:dyDescent="0.25">
      <c r="A1919" s="19" t="s">
        <v>4535</v>
      </c>
    </row>
    <row r="1920" spans="1:1" x14ac:dyDescent="0.25">
      <c r="A1920" s="19" t="s">
        <v>4536</v>
      </c>
    </row>
    <row r="1921" spans="1:1" x14ac:dyDescent="0.25">
      <c r="A1921" s="19" t="s">
        <v>4537</v>
      </c>
    </row>
    <row r="1922" spans="1:1" x14ac:dyDescent="0.25">
      <c r="A1922" s="19" t="s">
        <v>4538</v>
      </c>
    </row>
    <row r="1923" spans="1:1" x14ac:dyDescent="0.25">
      <c r="A1923" s="19" t="s">
        <v>4539</v>
      </c>
    </row>
    <row r="1924" spans="1:1" x14ac:dyDescent="0.25">
      <c r="A1924" s="19" t="s">
        <v>4540</v>
      </c>
    </row>
    <row r="1925" spans="1:1" x14ac:dyDescent="0.25">
      <c r="A1925" s="19" t="s">
        <v>4541</v>
      </c>
    </row>
    <row r="1926" spans="1:1" x14ac:dyDescent="0.25">
      <c r="A1926" s="19" t="s">
        <v>4542</v>
      </c>
    </row>
    <row r="1927" spans="1:1" x14ac:dyDescent="0.25">
      <c r="A1927" s="19" t="s">
        <v>4543</v>
      </c>
    </row>
    <row r="1928" spans="1:1" x14ac:dyDescent="0.25">
      <c r="A1928" s="19" t="s">
        <v>4544</v>
      </c>
    </row>
    <row r="1929" spans="1:1" x14ac:dyDescent="0.25">
      <c r="A1929" s="19" t="s">
        <v>4545</v>
      </c>
    </row>
    <row r="1930" spans="1:1" x14ac:dyDescent="0.25">
      <c r="A1930" s="19" t="s">
        <v>4546</v>
      </c>
    </row>
    <row r="1931" spans="1:1" x14ac:dyDescent="0.25">
      <c r="A1931" s="19" t="s">
        <v>4547</v>
      </c>
    </row>
    <row r="1932" spans="1:1" x14ac:dyDescent="0.25">
      <c r="A1932" s="19" t="s">
        <v>4548</v>
      </c>
    </row>
    <row r="1933" spans="1:1" x14ac:dyDescent="0.25">
      <c r="A1933" s="19" t="s">
        <v>4549</v>
      </c>
    </row>
    <row r="1934" spans="1:1" x14ac:dyDescent="0.25">
      <c r="A1934" s="19" t="s">
        <v>4550</v>
      </c>
    </row>
    <row r="1935" spans="1:1" x14ac:dyDescent="0.25">
      <c r="A1935" s="19" t="s">
        <v>4551</v>
      </c>
    </row>
    <row r="1936" spans="1:1" x14ac:dyDescent="0.25">
      <c r="A1936" s="19" t="s">
        <v>4552</v>
      </c>
    </row>
    <row r="1937" spans="1:1" x14ac:dyDescent="0.25">
      <c r="A1937" s="19" t="s">
        <v>4553</v>
      </c>
    </row>
    <row r="1938" spans="1:1" x14ac:dyDescent="0.25">
      <c r="A1938" s="19" t="s">
        <v>4554</v>
      </c>
    </row>
    <row r="1939" spans="1:1" x14ac:dyDescent="0.25">
      <c r="A1939" s="19" t="s">
        <v>4555</v>
      </c>
    </row>
    <row r="1940" spans="1:1" x14ac:dyDescent="0.25">
      <c r="A1940" s="19" t="s">
        <v>4556</v>
      </c>
    </row>
    <row r="1941" spans="1:1" x14ac:dyDescent="0.25">
      <c r="A1941" s="19" t="s">
        <v>4557</v>
      </c>
    </row>
    <row r="1942" spans="1:1" x14ac:dyDescent="0.25">
      <c r="A1942" s="19" t="s">
        <v>4558</v>
      </c>
    </row>
    <row r="1943" spans="1:1" x14ac:dyDescent="0.25">
      <c r="A1943" s="19" t="s">
        <v>4559</v>
      </c>
    </row>
    <row r="1944" spans="1:1" x14ac:dyDescent="0.25">
      <c r="A1944" s="19" t="s">
        <v>4560</v>
      </c>
    </row>
    <row r="1945" spans="1:1" x14ac:dyDescent="0.25">
      <c r="A1945" s="19" t="s">
        <v>4561</v>
      </c>
    </row>
    <row r="1946" spans="1:1" x14ac:dyDescent="0.25">
      <c r="A1946" s="19" t="s">
        <v>4562</v>
      </c>
    </row>
    <row r="1947" spans="1:1" x14ac:dyDescent="0.25">
      <c r="A1947" s="19" t="s">
        <v>4563</v>
      </c>
    </row>
    <row r="1948" spans="1:1" x14ac:dyDescent="0.25">
      <c r="A1948" s="19" t="s">
        <v>4564</v>
      </c>
    </row>
    <row r="1949" spans="1:1" x14ac:dyDescent="0.25">
      <c r="A1949" s="19" t="s">
        <v>4565</v>
      </c>
    </row>
    <row r="1950" spans="1:1" x14ac:dyDescent="0.25">
      <c r="A1950" s="19" t="s">
        <v>4566</v>
      </c>
    </row>
    <row r="1951" spans="1:1" x14ac:dyDescent="0.25">
      <c r="A1951" s="19" t="s">
        <v>4567</v>
      </c>
    </row>
    <row r="1952" spans="1:1" x14ac:dyDescent="0.25">
      <c r="A1952" s="19" t="s">
        <v>4568</v>
      </c>
    </row>
    <row r="1953" spans="1:1" x14ac:dyDescent="0.25">
      <c r="A1953" s="19" t="s">
        <v>4569</v>
      </c>
    </row>
    <row r="1954" spans="1:1" x14ac:dyDescent="0.25">
      <c r="A1954" s="19" t="s">
        <v>4570</v>
      </c>
    </row>
    <row r="1955" spans="1:1" x14ac:dyDescent="0.25">
      <c r="A1955" s="19" t="s">
        <v>4571</v>
      </c>
    </row>
    <row r="1956" spans="1:1" x14ac:dyDescent="0.25">
      <c r="A1956" s="19" t="s">
        <v>4572</v>
      </c>
    </row>
    <row r="1957" spans="1:1" x14ac:dyDescent="0.25">
      <c r="A1957" s="19" t="s">
        <v>4573</v>
      </c>
    </row>
    <row r="1958" spans="1:1" x14ac:dyDescent="0.25">
      <c r="A1958" s="19" t="s">
        <v>4574</v>
      </c>
    </row>
    <row r="1959" spans="1:1" x14ac:dyDescent="0.25">
      <c r="A1959" s="19" t="s">
        <v>4575</v>
      </c>
    </row>
    <row r="1960" spans="1:1" x14ac:dyDescent="0.25">
      <c r="A1960" s="19" t="s">
        <v>4576</v>
      </c>
    </row>
    <row r="1961" spans="1:1" x14ac:dyDescent="0.25">
      <c r="A1961" s="19" t="s">
        <v>4577</v>
      </c>
    </row>
    <row r="1962" spans="1:1" x14ac:dyDescent="0.25">
      <c r="A1962" s="19" t="s">
        <v>4578</v>
      </c>
    </row>
    <row r="1963" spans="1:1" x14ac:dyDescent="0.25">
      <c r="A1963" s="19" t="s">
        <v>4579</v>
      </c>
    </row>
    <row r="1964" spans="1:1" x14ac:dyDescent="0.25">
      <c r="A1964" s="19" t="s">
        <v>4580</v>
      </c>
    </row>
    <row r="1965" spans="1:1" x14ac:dyDescent="0.25">
      <c r="A1965" s="19" t="s">
        <v>4581</v>
      </c>
    </row>
    <row r="1966" spans="1:1" x14ac:dyDescent="0.25">
      <c r="A1966" s="19" t="s">
        <v>4582</v>
      </c>
    </row>
    <row r="1967" spans="1:1" x14ac:dyDescent="0.25">
      <c r="A1967" s="19" t="s">
        <v>4583</v>
      </c>
    </row>
    <row r="1968" spans="1:1" x14ac:dyDescent="0.25">
      <c r="A1968" s="19" t="s">
        <v>4584</v>
      </c>
    </row>
    <row r="1969" spans="1:1" x14ac:dyDescent="0.25">
      <c r="A1969" s="19" t="s">
        <v>4585</v>
      </c>
    </row>
    <row r="1970" spans="1:1" x14ac:dyDescent="0.25">
      <c r="A1970" s="19" t="s">
        <v>4586</v>
      </c>
    </row>
    <row r="1971" spans="1:1" x14ac:dyDescent="0.25">
      <c r="A1971" s="19" t="s">
        <v>4587</v>
      </c>
    </row>
    <row r="1972" spans="1:1" x14ac:dyDescent="0.25">
      <c r="A1972" s="19" t="s">
        <v>4588</v>
      </c>
    </row>
    <row r="1973" spans="1:1" x14ac:dyDescent="0.25">
      <c r="A1973" s="19" t="s">
        <v>4589</v>
      </c>
    </row>
    <row r="1974" spans="1:1" x14ac:dyDescent="0.25">
      <c r="A1974" s="19" t="s">
        <v>4590</v>
      </c>
    </row>
    <row r="1975" spans="1:1" x14ac:dyDescent="0.25">
      <c r="A1975" s="19" t="s">
        <v>4591</v>
      </c>
    </row>
    <row r="1976" spans="1:1" x14ac:dyDescent="0.25">
      <c r="A1976" s="19" t="s">
        <v>4592</v>
      </c>
    </row>
    <row r="1977" spans="1:1" x14ac:dyDescent="0.25">
      <c r="A1977" s="19" t="s">
        <v>4593</v>
      </c>
    </row>
    <row r="1978" spans="1:1" x14ac:dyDescent="0.25">
      <c r="A1978" s="19" t="s">
        <v>4594</v>
      </c>
    </row>
    <row r="1979" spans="1:1" x14ac:dyDescent="0.25">
      <c r="A1979" s="19" t="s">
        <v>4595</v>
      </c>
    </row>
    <row r="1980" spans="1:1" x14ac:dyDescent="0.25">
      <c r="A1980" s="19" t="s">
        <v>4596</v>
      </c>
    </row>
    <row r="1981" spans="1:1" x14ac:dyDescent="0.25">
      <c r="A1981" s="19" t="s">
        <v>4597</v>
      </c>
    </row>
    <row r="1982" spans="1:1" x14ac:dyDescent="0.25">
      <c r="A1982" s="19" t="s">
        <v>4598</v>
      </c>
    </row>
    <row r="1983" spans="1:1" x14ac:dyDescent="0.25">
      <c r="A1983" s="19" t="s">
        <v>4599</v>
      </c>
    </row>
    <row r="1984" spans="1:1" x14ac:dyDescent="0.25">
      <c r="A1984" s="19" t="s">
        <v>4600</v>
      </c>
    </row>
    <row r="1985" spans="1:1" x14ac:dyDescent="0.25">
      <c r="A1985" s="19" t="s">
        <v>4601</v>
      </c>
    </row>
    <row r="1986" spans="1:1" x14ac:dyDescent="0.25">
      <c r="A1986" s="19" t="s">
        <v>4602</v>
      </c>
    </row>
    <row r="1987" spans="1:1" x14ac:dyDescent="0.25">
      <c r="A1987" s="19" t="s">
        <v>4603</v>
      </c>
    </row>
    <row r="1988" spans="1:1" x14ac:dyDescent="0.25">
      <c r="A1988" s="19" t="s">
        <v>4604</v>
      </c>
    </row>
    <row r="1989" spans="1:1" x14ac:dyDescent="0.25">
      <c r="A1989" s="19" t="s">
        <v>4605</v>
      </c>
    </row>
    <row r="1990" spans="1:1" x14ac:dyDescent="0.25">
      <c r="A1990" s="19" t="s">
        <v>4606</v>
      </c>
    </row>
    <row r="1991" spans="1:1" x14ac:dyDescent="0.25">
      <c r="A1991" s="19" t="s">
        <v>4607</v>
      </c>
    </row>
    <row r="1992" spans="1:1" x14ac:dyDescent="0.25">
      <c r="A1992" s="19" t="s">
        <v>4608</v>
      </c>
    </row>
    <row r="1993" spans="1:1" x14ac:dyDescent="0.25">
      <c r="A1993" s="19" t="s">
        <v>4609</v>
      </c>
    </row>
    <row r="1994" spans="1:1" x14ac:dyDescent="0.25">
      <c r="A1994" s="19" t="s">
        <v>4610</v>
      </c>
    </row>
    <row r="1995" spans="1:1" x14ac:dyDescent="0.25">
      <c r="A1995" s="19" t="s">
        <v>4611</v>
      </c>
    </row>
    <row r="1996" spans="1:1" x14ac:dyDescent="0.25">
      <c r="A1996" s="19" t="s">
        <v>4612</v>
      </c>
    </row>
    <row r="1997" spans="1:1" x14ac:dyDescent="0.25">
      <c r="A1997" s="19" t="s">
        <v>4613</v>
      </c>
    </row>
    <row r="1998" spans="1:1" x14ac:dyDescent="0.25">
      <c r="A1998" s="19" t="s">
        <v>4614</v>
      </c>
    </row>
    <row r="1999" spans="1:1" x14ac:dyDescent="0.25">
      <c r="A1999" s="19" t="s">
        <v>4615</v>
      </c>
    </row>
    <row r="2000" spans="1:1" x14ac:dyDescent="0.25">
      <c r="A2000" s="19" t="s">
        <v>4616</v>
      </c>
    </row>
    <row r="2001" spans="1:1" x14ac:dyDescent="0.25">
      <c r="A2001" s="19" t="s">
        <v>4617</v>
      </c>
    </row>
    <row r="2002" spans="1:1" x14ac:dyDescent="0.25">
      <c r="A2002" s="19" t="s">
        <v>4618</v>
      </c>
    </row>
    <row r="2003" spans="1:1" x14ac:dyDescent="0.25">
      <c r="A2003" s="19" t="s">
        <v>4619</v>
      </c>
    </row>
    <row r="2004" spans="1:1" x14ac:dyDescent="0.25">
      <c r="A2004" s="19" t="s">
        <v>4620</v>
      </c>
    </row>
    <row r="2005" spans="1:1" x14ac:dyDescent="0.25">
      <c r="A2005" s="19" t="s">
        <v>4621</v>
      </c>
    </row>
    <row r="2006" spans="1:1" x14ac:dyDescent="0.25">
      <c r="A2006" s="19" t="s">
        <v>4622</v>
      </c>
    </row>
    <row r="2007" spans="1:1" x14ac:dyDescent="0.25">
      <c r="A2007" s="19" t="s">
        <v>4623</v>
      </c>
    </row>
    <row r="2008" spans="1:1" x14ac:dyDescent="0.25">
      <c r="A2008" s="19" t="s">
        <v>4624</v>
      </c>
    </row>
    <row r="2009" spans="1:1" x14ac:dyDescent="0.25">
      <c r="A2009" s="19" t="s">
        <v>4625</v>
      </c>
    </row>
    <row r="2010" spans="1:1" x14ac:dyDescent="0.25">
      <c r="A2010" s="19" t="s">
        <v>4626</v>
      </c>
    </row>
    <row r="2011" spans="1:1" x14ac:dyDescent="0.25">
      <c r="A2011" s="19" t="s">
        <v>4627</v>
      </c>
    </row>
    <row r="2012" spans="1:1" x14ac:dyDescent="0.25">
      <c r="A2012" s="19" t="s">
        <v>4628</v>
      </c>
    </row>
    <row r="2013" spans="1:1" x14ac:dyDescent="0.25">
      <c r="A2013" s="19" t="s">
        <v>4629</v>
      </c>
    </row>
    <row r="2014" spans="1:1" x14ac:dyDescent="0.25">
      <c r="A2014" s="19" t="s">
        <v>4630</v>
      </c>
    </row>
    <row r="2015" spans="1:1" x14ac:dyDescent="0.25">
      <c r="A2015" s="19" t="s">
        <v>4631</v>
      </c>
    </row>
    <row r="2016" spans="1:1" x14ac:dyDescent="0.25">
      <c r="A2016" s="19" t="s">
        <v>4632</v>
      </c>
    </row>
    <row r="2017" spans="1:1" x14ac:dyDescent="0.25">
      <c r="A2017" s="19" t="s">
        <v>4633</v>
      </c>
    </row>
    <row r="2018" spans="1:1" x14ac:dyDescent="0.25">
      <c r="A2018" s="19" t="s">
        <v>4634</v>
      </c>
    </row>
    <row r="2019" spans="1:1" x14ac:dyDescent="0.25">
      <c r="A2019" s="19" t="s">
        <v>4635</v>
      </c>
    </row>
    <row r="2020" spans="1:1" x14ac:dyDescent="0.25">
      <c r="A2020" s="19" t="s">
        <v>4636</v>
      </c>
    </row>
    <row r="2021" spans="1:1" x14ac:dyDescent="0.25">
      <c r="A2021" s="19" t="s">
        <v>4637</v>
      </c>
    </row>
    <row r="2022" spans="1:1" x14ac:dyDescent="0.25">
      <c r="A2022" s="19" t="s">
        <v>4638</v>
      </c>
    </row>
    <row r="2023" spans="1:1" x14ac:dyDescent="0.25">
      <c r="A2023" s="19" t="s">
        <v>4639</v>
      </c>
    </row>
    <row r="2024" spans="1:1" x14ac:dyDescent="0.25">
      <c r="A2024" s="19" t="s">
        <v>4640</v>
      </c>
    </row>
    <row r="2025" spans="1:1" x14ac:dyDescent="0.25">
      <c r="A2025" s="19" t="s">
        <v>4641</v>
      </c>
    </row>
    <row r="2026" spans="1:1" x14ac:dyDescent="0.25">
      <c r="A2026" s="19" t="s">
        <v>4642</v>
      </c>
    </row>
    <row r="2027" spans="1:1" x14ac:dyDescent="0.25">
      <c r="A2027" s="19" t="s">
        <v>4642</v>
      </c>
    </row>
    <row r="2028" spans="1:1" x14ac:dyDescent="0.25">
      <c r="A2028" s="19" t="s">
        <v>4643</v>
      </c>
    </row>
    <row r="2029" spans="1:1" x14ac:dyDescent="0.25">
      <c r="A2029" s="19" t="s">
        <v>4644</v>
      </c>
    </row>
    <row r="2030" spans="1:1" x14ac:dyDescent="0.25">
      <c r="A2030" s="19" t="s">
        <v>4645</v>
      </c>
    </row>
    <row r="2031" spans="1:1" x14ac:dyDescent="0.25">
      <c r="A2031" s="19" t="s">
        <v>4646</v>
      </c>
    </row>
    <row r="2032" spans="1:1" x14ac:dyDescent="0.25">
      <c r="A2032" s="19" t="s">
        <v>4647</v>
      </c>
    </row>
    <row r="2033" spans="1:1" x14ac:dyDescent="0.25">
      <c r="A2033" s="19" t="s">
        <v>4648</v>
      </c>
    </row>
    <row r="2034" spans="1:1" x14ac:dyDescent="0.25">
      <c r="A2034" s="19" t="s">
        <v>4649</v>
      </c>
    </row>
    <row r="2035" spans="1:1" x14ac:dyDescent="0.25">
      <c r="A2035" s="19" t="s">
        <v>4650</v>
      </c>
    </row>
    <row r="2036" spans="1:1" x14ac:dyDescent="0.25">
      <c r="A2036" s="19" t="s">
        <v>4651</v>
      </c>
    </row>
    <row r="2037" spans="1:1" x14ac:dyDescent="0.25">
      <c r="A2037" s="19" t="s">
        <v>4652</v>
      </c>
    </row>
    <row r="2038" spans="1:1" x14ac:dyDescent="0.25">
      <c r="A2038" s="19" t="s">
        <v>4653</v>
      </c>
    </row>
    <row r="2039" spans="1:1" x14ac:dyDescent="0.25">
      <c r="A2039" s="19" t="s">
        <v>4654</v>
      </c>
    </row>
    <row r="2040" spans="1:1" x14ac:dyDescent="0.25">
      <c r="A2040" s="19" t="s">
        <v>4654</v>
      </c>
    </row>
    <row r="2041" spans="1:1" x14ac:dyDescent="0.25">
      <c r="A2041" s="19" t="s">
        <v>4655</v>
      </c>
    </row>
    <row r="2042" spans="1:1" x14ac:dyDescent="0.25">
      <c r="A2042" s="19" t="s">
        <v>4656</v>
      </c>
    </row>
    <row r="2043" spans="1:1" x14ac:dyDescent="0.25">
      <c r="A2043" s="19" t="s">
        <v>4657</v>
      </c>
    </row>
    <row r="2044" spans="1:1" x14ac:dyDescent="0.25">
      <c r="A2044" s="19" t="s">
        <v>4658</v>
      </c>
    </row>
    <row r="2045" spans="1:1" x14ac:dyDescent="0.25">
      <c r="A2045" s="19" t="s">
        <v>4659</v>
      </c>
    </row>
    <row r="2046" spans="1:1" x14ac:dyDescent="0.25">
      <c r="A2046" s="19" t="s">
        <v>4660</v>
      </c>
    </row>
    <row r="2047" spans="1:1" x14ac:dyDescent="0.25">
      <c r="A2047" s="19" t="s">
        <v>4661</v>
      </c>
    </row>
    <row r="2048" spans="1:1" x14ac:dyDescent="0.25">
      <c r="A2048" s="19" t="s">
        <v>4662</v>
      </c>
    </row>
    <row r="2049" spans="1:1" x14ac:dyDescent="0.25">
      <c r="A2049" s="19" t="s">
        <v>4663</v>
      </c>
    </row>
    <row r="2050" spans="1:1" x14ac:dyDescent="0.25">
      <c r="A2050" s="19" t="s">
        <v>4664</v>
      </c>
    </row>
    <row r="2051" spans="1:1" x14ac:dyDescent="0.25">
      <c r="A2051" s="19" t="s">
        <v>4665</v>
      </c>
    </row>
    <row r="2052" spans="1:1" x14ac:dyDescent="0.25">
      <c r="A2052" s="19" t="s">
        <v>4666</v>
      </c>
    </row>
    <row r="2053" spans="1:1" x14ac:dyDescent="0.25">
      <c r="A2053" s="19" t="s">
        <v>4667</v>
      </c>
    </row>
    <row r="2054" spans="1:1" x14ac:dyDescent="0.25">
      <c r="A2054" s="19" t="s">
        <v>4668</v>
      </c>
    </row>
    <row r="2055" spans="1:1" x14ac:dyDescent="0.25">
      <c r="A2055" s="19" t="s">
        <v>4669</v>
      </c>
    </row>
    <row r="2056" spans="1:1" x14ac:dyDescent="0.25">
      <c r="A2056" s="19" t="s">
        <v>4670</v>
      </c>
    </row>
    <row r="2057" spans="1:1" x14ac:dyDescent="0.25">
      <c r="A2057" s="19" t="s">
        <v>4671</v>
      </c>
    </row>
    <row r="2058" spans="1:1" x14ac:dyDescent="0.25">
      <c r="A2058" s="19" t="s">
        <v>4672</v>
      </c>
    </row>
    <row r="2059" spans="1:1" x14ac:dyDescent="0.25">
      <c r="A2059" s="19" t="s">
        <v>4673</v>
      </c>
    </row>
    <row r="2060" spans="1:1" x14ac:dyDescent="0.25">
      <c r="A2060" s="19" t="s">
        <v>4674</v>
      </c>
    </row>
    <row r="2061" spans="1:1" x14ac:dyDescent="0.25">
      <c r="A2061" s="19" t="s">
        <v>4675</v>
      </c>
    </row>
    <row r="2062" spans="1:1" x14ac:dyDescent="0.25">
      <c r="A2062" s="19" t="s">
        <v>4676</v>
      </c>
    </row>
    <row r="2063" spans="1:1" x14ac:dyDescent="0.25">
      <c r="A2063" s="19" t="s">
        <v>4677</v>
      </c>
    </row>
    <row r="2064" spans="1:1" x14ac:dyDescent="0.25">
      <c r="A2064" s="19" t="s">
        <v>4678</v>
      </c>
    </row>
    <row r="2065" spans="1:1" x14ac:dyDescent="0.25">
      <c r="A2065" s="19" t="s">
        <v>4679</v>
      </c>
    </row>
    <row r="2066" spans="1:1" x14ac:dyDescent="0.25">
      <c r="A2066" s="19" t="s">
        <v>4680</v>
      </c>
    </row>
    <row r="2067" spans="1:1" x14ac:dyDescent="0.25">
      <c r="A2067" s="19" t="s">
        <v>4681</v>
      </c>
    </row>
    <row r="2068" spans="1:1" x14ac:dyDescent="0.25">
      <c r="A2068" s="19" t="s">
        <v>4682</v>
      </c>
    </row>
    <row r="2069" spans="1:1" x14ac:dyDescent="0.25">
      <c r="A2069" s="19" t="s">
        <v>4683</v>
      </c>
    </row>
    <row r="2070" spans="1:1" x14ac:dyDescent="0.25">
      <c r="A2070" s="19" t="s">
        <v>4684</v>
      </c>
    </row>
    <row r="2071" spans="1:1" x14ac:dyDescent="0.25">
      <c r="A2071" s="19" t="s">
        <v>4685</v>
      </c>
    </row>
    <row r="2072" spans="1:1" x14ac:dyDescent="0.25">
      <c r="A2072" s="19" t="s">
        <v>4686</v>
      </c>
    </row>
    <row r="2073" spans="1:1" x14ac:dyDescent="0.25">
      <c r="A2073" s="19" t="s">
        <v>4687</v>
      </c>
    </row>
    <row r="2074" spans="1:1" x14ac:dyDescent="0.25">
      <c r="A2074" s="19" t="s">
        <v>4688</v>
      </c>
    </row>
    <row r="2075" spans="1:1" x14ac:dyDescent="0.25">
      <c r="A2075" s="19" t="s">
        <v>4689</v>
      </c>
    </row>
    <row r="2076" spans="1:1" x14ac:dyDescent="0.25">
      <c r="A2076" s="19" t="s">
        <v>4690</v>
      </c>
    </row>
    <row r="2077" spans="1:1" x14ac:dyDescent="0.25">
      <c r="A2077" s="19" t="s">
        <v>4691</v>
      </c>
    </row>
    <row r="2078" spans="1:1" x14ac:dyDescent="0.25">
      <c r="A2078" s="19" t="s">
        <v>4692</v>
      </c>
    </row>
    <row r="2079" spans="1:1" x14ac:dyDescent="0.25">
      <c r="A2079" s="19" t="s">
        <v>4693</v>
      </c>
    </row>
    <row r="2080" spans="1:1" x14ac:dyDescent="0.25">
      <c r="A2080" s="19" t="s">
        <v>4694</v>
      </c>
    </row>
    <row r="2081" spans="1:1" x14ac:dyDescent="0.25">
      <c r="A2081" s="19" t="s">
        <v>4695</v>
      </c>
    </row>
    <row r="2082" spans="1:1" x14ac:dyDescent="0.25">
      <c r="A2082" s="19" t="s">
        <v>4696</v>
      </c>
    </row>
    <row r="2083" spans="1:1" x14ac:dyDescent="0.25">
      <c r="A2083" s="19" t="s">
        <v>4697</v>
      </c>
    </row>
    <row r="2084" spans="1:1" x14ac:dyDescent="0.25">
      <c r="A2084" s="19" t="s">
        <v>4698</v>
      </c>
    </row>
    <row r="2085" spans="1:1" x14ac:dyDescent="0.25">
      <c r="A2085" s="19" t="s">
        <v>4699</v>
      </c>
    </row>
    <row r="2086" spans="1:1" x14ac:dyDescent="0.25">
      <c r="A2086" s="19" t="s">
        <v>4700</v>
      </c>
    </row>
    <row r="2087" spans="1:1" x14ac:dyDescent="0.25">
      <c r="A2087" s="19" t="s">
        <v>4701</v>
      </c>
    </row>
    <row r="2088" spans="1:1" x14ac:dyDescent="0.25">
      <c r="A2088" s="19" t="s">
        <v>4702</v>
      </c>
    </row>
    <row r="2089" spans="1:1" x14ac:dyDescent="0.25">
      <c r="A2089" s="19" t="s">
        <v>4703</v>
      </c>
    </row>
    <row r="2090" spans="1:1" x14ac:dyDescent="0.25">
      <c r="A2090" s="19" t="s">
        <v>4704</v>
      </c>
    </row>
    <row r="2091" spans="1:1" x14ac:dyDescent="0.25">
      <c r="A2091" s="19" t="s">
        <v>4705</v>
      </c>
    </row>
    <row r="2092" spans="1:1" x14ac:dyDescent="0.25">
      <c r="A2092" s="19" t="s">
        <v>4706</v>
      </c>
    </row>
    <row r="2093" spans="1:1" x14ac:dyDescent="0.25">
      <c r="A2093" s="19" t="s">
        <v>4707</v>
      </c>
    </row>
    <row r="2094" spans="1:1" x14ac:dyDescent="0.25">
      <c r="A2094" s="19" t="s">
        <v>4708</v>
      </c>
    </row>
    <row r="2095" spans="1:1" x14ac:dyDescent="0.25">
      <c r="A2095" s="19" t="s">
        <v>4709</v>
      </c>
    </row>
    <row r="2096" spans="1:1" x14ac:dyDescent="0.25">
      <c r="A2096" s="19" t="s">
        <v>4710</v>
      </c>
    </row>
    <row r="2097" spans="1:1" x14ac:dyDescent="0.25">
      <c r="A2097" s="19" t="s">
        <v>4711</v>
      </c>
    </row>
    <row r="2098" spans="1:1" x14ac:dyDescent="0.25">
      <c r="A2098" s="19" t="s">
        <v>4712</v>
      </c>
    </row>
    <row r="2099" spans="1:1" x14ac:dyDescent="0.25">
      <c r="A2099" s="19" t="s">
        <v>4713</v>
      </c>
    </row>
    <row r="2100" spans="1:1" x14ac:dyDescent="0.25">
      <c r="A2100" s="19" t="s">
        <v>4714</v>
      </c>
    </row>
    <row r="2101" spans="1:1" x14ac:dyDescent="0.25">
      <c r="A2101" s="19" t="s">
        <v>4715</v>
      </c>
    </row>
    <row r="2102" spans="1:1" x14ac:dyDescent="0.25">
      <c r="A2102" s="19" t="s">
        <v>4716</v>
      </c>
    </row>
    <row r="2103" spans="1:1" x14ac:dyDescent="0.25">
      <c r="A2103" s="19" t="s">
        <v>4716</v>
      </c>
    </row>
    <row r="2104" spans="1:1" x14ac:dyDescent="0.25">
      <c r="A2104" s="19" t="s">
        <v>4717</v>
      </c>
    </row>
    <row r="2105" spans="1:1" x14ac:dyDescent="0.25">
      <c r="A2105" s="19" t="s">
        <v>4718</v>
      </c>
    </row>
    <row r="2106" spans="1:1" x14ac:dyDescent="0.25">
      <c r="A2106" s="19" t="s">
        <v>4719</v>
      </c>
    </row>
    <row r="2107" spans="1:1" x14ac:dyDescent="0.25">
      <c r="A2107" s="19" t="s">
        <v>4720</v>
      </c>
    </row>
    <row r="2108" spans="1:1" x14ac:dyDescent="0.25">
      <c r="A2108" s="19" t="s">
        <v>4721</v>
      </c>
    </row>
    <row r="2109" spans="1:1" x14ac:dyDescent="0.25">
      <c r="A2109" s="19" t="s">
        <v>4722</v>
      </c>
    </row>
    <row r="2110" spans="1:1" x14ac:dyDescent="0.25">
      <c r="A2110" s="19" t="s">
        <v>4723</v>
      </c>
    </row>
    <row r="2111" spans="1:1" x14ac:dyDescent="0.25">
      <c r="A2111" s="19" t="s">
        <v>4724</v>
      </c>
    </row>
    <row r="2112" spans="1:1" x14ac:dyDescent="0.25">
      <c r="A2112" s="19" t="s">
        <v>4725</v>
      </c>
    </row>
    <row r="2113" spans="1:1" x14ac:dyDescent="0.25">
      <c r="A2113" s="19" t="s">
        <v>4726</v>
      </c>
    </row>
    <row r="2114" spans="1:1" x14ac:dyDescent="0.25">
      <c r="A2114" s="19" t="s">
        <v>4727</v>
      </c>
    </row>
    <row r="2115" spans="1:1" x14ac:dyDescent="0.25">
      <c r="A2115" s="19" t="s">
        <v>4728</v>
      </c>
    </row>
    <row r="2116" spans="1:1" x14ac:dyDescent="0.25">
      <c r="A2116" s="19" t="s">
        <v>4729</v>
      </c>
    </row>
    <row r="2117" spans="1:1" x14ac:dyDescent="0.25">
      <c r="A2117" s="19" t="s">
        <v>4730</v>
      </c>
    </row>
    <row r="2118" spans="1:1" x14ac:dyDescent="0.25">
      <c r="A2118" s="19" t="s">
        <v>4731</v>
      </c>
    </row>
    <row r="2119" spans="1:1" x14ac:dyDescent="0.25">
      <c r="A2119" s="19" t="s">
        <v>4732</v>
      </c>
    </row>
    <row r="2120" spans="1:1" x14ac:dyDescent="0.25">
      <c r="A2120" s="19" t="s">
        <v>4733</v>
      </c>
    </row>
    <row r="2121" spans="1:1" x14ac:dyDescent="0.25">
      <c r="A2121" s="19" t="s">
        <v>4734</v>
      </c>
    </row>
    <row r="2122" spans="1:1" x14ac:dyDescent="0.25">
      <c r="A2122" s="19" t="s">
        <v>4735</v>
      </c>
    </row>
    <row r="2123" spans="1:1" x14ac:dyDescent="0.25">
      <c r="A2123" s="19" t="s">
        <v>4736</v>
      </c>
    </row>
    <row r="2124" spans="1:1" x14ac:dyDescent="0.25">
      <c r="A2124" s="19" t="s">
        <v>4737</v>
      </c>
    </row>
    <row r="2125" spans="1:1" x14ac:dyDescent="0.25">
      <c r="A2125" s="19" t="s">
        <v>4738</v>
      </c>
    </row>
    <row r="2126" spans="1:1" x14ac:dyDescent="0.25">
      <c r="A2126" s="19" t="s">
        <v>4739</v>
      </c>
    </row>
    <row r="2127" spans="1:1" x14ac:dyDescent="0.25">
      <c r="A2127" s="19" t="s">
        <v>4740</v>
      </c>
    </row>
    <row r="2128" spans="1:1" x14ac:dyDescent="0.25">
      <c r="A2128" s="19" t="s">
        <v>4741</v>
      </c>
    </row>
    <row r="2129" spans="1:1" x14ac:dyDescent="0.25">
      <c r="A2129" s="19" t="s">
        <v>4742</v>
      </c>
    </row>
    <row r="2130" spans="1:1" x14ac:dyDescent="0.25">
      <c r="A2130" s="19" t="s">
        <v>4743</v>
      </c>
    </row>
    <row r="2131" spans="1:1" x14ac:dyDescent="0.25">
      <c r="A2131" s="19" t="s">
        <v>4744</v>
      </c>
    </row>
    <row r="2132" spans="1:1" x14ac:dyDescent="0.25">
      <c r="A2132" s="19" t="s">
        <v>4745</v>
      </c>
    </row>
    <row r="2133" spans="1:1" x14ac:dyDescent="0.25">
      <c r="A2133" s="19" t="s">
        <v>4746</v>
      </c>
    </row>
    <row r="2134" spans="1:1" x14ac:dyDescent="0.25">
      <c r="A2134" s="19" t="s">
        <v>4747</v>
      </c>
    </row>
    <row r="2135" spans="1:1" x14ac:dyDescent="0.25">
      <c r="A2135" s="19" t="s">
        <v>4748</v>
      </c>
    </row>
    <row r="2136" spans="1:1" x14ac:dyDescent="0.25">
      <c r="A2136" s="19" t="s">
        <v>4749</v>
      </c>
    </row>
    <row r="2137" spans="1:1" x14ac:dyDescent="0.25">
      <c r="A2137" s="19" t="s">
        <v>4750</v>
      </c>
    </row>
    <row r="2138" spans="1:1" x14ac:dyDescent="0.25">
      <c r="A2138" s="19" t="s">
        <v>4751</v>
      </c>
    </row>
    <row r="2139" spans="1:1" x14ac:dyDescent="0.25">
      <c r="A2139" s="19" t="s">
        <v>4752</v>
      </c>
    </row>
    <row r="2140" spans="1:1" x14ac:dyDescent="0.25">
      <c r="A2140" s="19" t="s">
        <v>4753</v>
      </c>
    </row>
    <row r="2141" spans="1:1" x14ac:dyDescent="0.25">
      <c r="A2141" s="19" t="s">
        <v>4754</v>
      </c>
    </row>
    <row r="2142" spans="1:1" x14ac:dyDescent="0.25">
      <c r="A2142" s="19" t="s">
        <v>4755</v>
      </c>
    </row>
    <row r="2143" spans="1:1" x14ac:dyDescent="0.25">
      <c r="A2143" s="19" t="s">
        <v>4756</v>
      </c>
    </row>
    <row r="2144" spans="1:1" x14ac:dyDescent="0.25">
      <c r="A2144" s="19" t="s">
        <v>4757</v>
      </c>
    </row>
    <row r="2145" spans="1:1" x14ac:dyDescent="0.25">
      <c r="A2145" s="19" t="s">
        <v>4758</v>
      </c>
    </row>
    <row r="2146" spans="1:1" x14ac:dyDescent="0.25">
      <c r="A2146" s="19" t="s">
        <v>4759</v>
      </c>
    </row>
    <row r="2147" spans="1:1" x14ac:dyDescent="0.25">
      <c r="A2147" s="19" t="s">
        <v>4760</v>
      </c>
    </row>
    <row r="2148" spans="1:1" x14ac:dyDescent="0.25">
      <c r="A2148" s="19" t="s">
        <v>4761</v>
      </c>
    </row>
    <row r="2149" spans="1:1" x14ac:dyDescent="0.25">
      <c r="A2149" s="19" t="s">
        <v>4762</v>
      </c>
    </row>
    <row r="2150" spans="1:1" x14ac:dyDescent="0.25">
      <c r="A2150" s="19" t="s">
        <v>4763</v>
      </c>
    </row>
    <row r="2151" spans="1:1" x14ac:dyDescent="0.25">
      <c r="A2151" s="19" t="s">
        <v>4764</v>
      </c>
    </row>
    <row r="2152" spans="1:1" x14ac:dyDescent="0.25">
      <c r="A2152" s="19" t="s">
        <v>4765</v>
      </c>
    </row>
    <row r="2153" spans="1:1" x14ac:dyDescent="0.25">
      <c r="A2153" s="19" t="s">
        <v>4766</v>
      </c>
    </row>
    <row r="2154" spans="1:1" x14ac:dyDescent="0.25">
      <c r="A2154" s="19" t="s">
        <v>4767</v>
      </c>
    </row>
    <row r="2155" spans="1:1" x14ac:dyDescent="0.25">
      <c r="A2155" s="19" t="s">
        <v>4768</v>
      </c>
    </row>
    <row r="2156" spans="1:1" x14ac:dyDescent="0.25">
      <c r="A2156" s="19" t="s">
        <v>4769</v>
      </c>
    </row>
    <row r="2157" spans="1:1" x14ac:dyDescent="0.25">
      <c r="A2157" s="19" t="s">
        <v>4770</v>
      </c>
    </row>
    <row r="2158" spans="1:1" x14ac:dyDescent="0.25">
      <c r="A2158" s="19" t="s">
        <v>4771</v>
      </c>
    </row>
    <row r="2159" spans="1:1" x14ac:dyDescent="0.25">
      <c r="A2159" s="19" t="s">
        <v>4772</v>
      </c>
    </row>
    <row r="2160" spans="1:1" x14ac:dyDescent="0.25">
      <c r="A2160" s="19" t="s">
        <v>4773</v>
      </c>
    </row>
    <row r="2161" spans="1:1" x14ac:dyDescent="0.25">
      <c r="A2161" s="19" t="s">
        <v>4774</v>
      </c>
    </row>
    <row r="2162" spans="1:1" x14ac:dyDescent="0.25">
      <c r="A2162" s="19" t="s">
        <v>4775</v>
      </c>
    </row>
    <row r="2163" spans="1:1" x14ac:dyDescent="0.25">
      <c r="A2163" s="19" t="s">
        <v>4776</v>
      </c>
    </row>
    <row r="2164" spans="1:1" x14ac:dyDescent="0.25">
      <c r="A2164" s="19" t="s">
        <v>4777</v>
      </c>
    </row>
    <row r="2165" spans="1:1" x14ac:dyDescent="0.25">
      <c r="A2165" s="19" t="s">
        <v>4778</v>
      </c>
    </row>
    <row r="2166" spans="1:1" x14ac:dyDescent="0.25">
      <c r="A2166" s="19" t="s">
        <v>4779</v>
      </c>
    </row>
    <row r="2167" spans="1:1" x14ac:dyDescent="0.25">
      <c r="A2167" s="19" t="s">
        <v>4780</v>
      </c>
    </row>
    <row r="2168" spans="1:1" x14ac:dyDescent="0.25">
      <c r="A2168" s="19" t="s">
        <v>4781</v>
      </c>
    </row>
    <row r="2169" spans="1:1" x14ac:dyDescent="0.25">
      <c r="A2169" s="19" t="s">
        <v>4782</v>
      </c>
    </row>
    <row r="2170" spans="1:1" x14ac:dyDescent="0.25">
      <c r="A2170" s="19" t="s">
        <v>4783</v>
      </c>
    </row>
    <row r="2171" spans="1:1" x14ac:dyDescent="0.25">
      <c r="A2171" s="19" t="s">
        <v>4784</v>
      </c>
    </row>
    <row r="2172" spans="1:1" x14ac:dyDescent="0.25">
      <c r="A2172" s="19" t="s">
        <v>4785</v>
      </c>
    </row>
    <row r="2173" spans="1:1" x14ac:dyDescent="0.25">
      <c r="A2173" s="19" t="s">
        <v>4786</v>
      </c>
    </row>
    <row r="2174" spans="1:1" x14ac:dyDescent="0.25">
      <c r="A2174" s="19" t="s">
        <v>4787</v>
      </c>
    </row>
    <row r="2175" spans="1:1" x14ac:dyDescent="0.25">
      <c r="A2175" s="19" t="s">
        <v>4788</v>
      </c>
    </row>
    <row r="2176" spans="1:1" x14ac:dyDescent="0.25">
      <c r="A2176" s="19" t="s">
        <v>4789</v>
      </c>
    </row>
    <row r="2177" spans="1:1" x14ac:dyDescent="0.25">
      <c r="A2177" s="19" t="s">
        <v>4789</v>
      </c>
    </row>
    <row r="2178" spans="1:1" x14ac:dyDescent="0.25">
      <c r="A2178" s="19" t="s">
        <v>4790</v>
      </c>
    </row>
    <row r="2179" spans="1:1" x14ac:dyDescent="0.25">
      <c r="A2179" s="19" t="s">
        <v>4791</v>
      </c>
    </row>
    <row r="2180" spans="1:1" x14ac:dyDescent="0.25">
      <c r="A2180" s="19" t="s">
        <v>4792</v>
      </c>
    </row>
    <row r="2181" spans="1:1" x14ac:dyDescent="0.25">
      <c r="A2181" s="19" t="s">
        <v>4793</v>
      </c>
    </row>
    <row r="2182" spans="1:1" x14ac:dyDescent="0.25">
      <c r="A2182" s="19" t="s">
        <v>4794</v>
      </c>
    </row>
    <row r="2183" spans="1:1" x14ac:dyDescent="0.25">
      <c r="A2183" s="19" t="s">
        <v>4795</v>
      </c>
    </row>
    <row r="2184" spans="1:1" x14ac:dyDescent="0.25">
      <c r="A2184" s="19" t="s">
        <v>4796</v>
      </c>
    </row>
    <row r="2185" spans="1:1" x14ac:dyDescent="0.25">
      <c r="A2185" s="19" t="s">
        <v>4797</v>
      </c>
    </row>
    <row r="2186" spans="1:1" x14ac:dyDescent="0.25">
      <c r="A2186" s="19" t="s">
        <v>4798</v>
      </c>
    </row>
    <row r="2187" spans="1:1" x14ac:dyDescent="0.25">
      <c r="A2187" s="19" t="s">
        <v>4799</v>
      </c>
    </row>
    <row r="2188" spans="1:1" x14ac:dyDescent="0.25">
      <c r="A2188" s="19" t="s">
        <v>4800</v>
      </c>
    </row>
    <row r="2189" spans="1:1" x14ac:dyDescent="0.25">
      <c r="A2189" s="19" t="s">
        <v>4801</v>
      </c>
    </row>
    <row r="2190" spans="1:1" x14ac:dyDescent="0.25">
      <c r="A2190" s="19" t="s">
        <v>4802</v>
      </c>
    </row>
    <row r="2191" spans="1:1" x14ac:dyDescent="0.25">
      <c r="A2191" s="19" t="s">
        <v>4803</v>
      </c>
    </row>
    <row r="2192" spans="1:1" x14ac:dyDescent="0.25">
      <c r="A2192" s="19" t="s">
        <v>4804</v>
      </c>
    </row>
    <row r="2193" spans="1:1" x14ac:dyDescent="0.25">
      <c r="A2193" s="19" t="s">
        <v>4805</v>
      </c>
    </row>
    <row r="2194" spans="1:1" x14ac:dyDescent="0.25">
      <c r="A2194" s="19" t="s">
        <v>4806</v>
      </c>
    </row>
    <row r="2195" spans="1:1" x14ac:dyDescent="0.25">
      <c r="A2195" s="19" t="s">
        <v>4807</v>
      </c>
    </row>
    <row r="2196" spans="1:1" x14ac:dyDescent="0.25">
      <c r="A2196" s="19" t="s">
        <v>4808</v>
      </c>
    </row>
    <row r="2197" spans="1:1" x14ac:dyDescent="0.25">
      <c r="A2197" s="19" t="s">
        <v>4809</v>
      </c>
    </row>
    <row r="2198" spans="1:1" x14ac:dyDescent="0.25">
      <c r="A2198" s="19" t="s">
        <v>4810</v>
      </c>
    </row>
    <row r="2199" spans="1:1" x14ac:dyDescent="0.25">
      <c r="A2199" s="19" t="s">
        <v>4811</v>
      </c>
    </row>
    <row r="2200" spans="1:1" x14ac:dyDescent="0.25">
      <c r="A2200" s="19" t="s">
        <v>4812</v>
      </c>
    </row>
    <row r="2201" spans="1:1" x14ac:dyDescent="0.25">
      <c r="A2201" s="19" t="s">
        <v>4812</v>
      </c>
    </row>
    <row r="2202" spans="1:1" x14ac:dyDescent="0.25">
      <c r="A2202" s="19" t="s">
        <v>4813</v>
      </c>
    </row>
    <row r="2203" spans="1:1" x14ac:dyDescent="0.25">
      <c r="A2203" s="19" t="s">
        <v>4814</v>
      </c>
    </row>
    <row r="2204" spans="1:1" x14ac:dyDescent="0.25">
      <c r="A2204" s="19" t="s">
        <v>4815</v>
      </c>
    </row>
    <row r="2205" spans="1:1" x14ac:dyDescent="0.25">
      <c r="A2205" s="19" t="s">
        <v>4816</v>
      </c>
    </row>
    <row r="2206" spans="1:1" x14ac:dyDescent="0.25">
      <c r="A2206" s="19" t="s">
        <v>4817</v>
      </c>
    </row>
    <row r="2207" spans="1:1" x14ac:dyDescent="0.25">
      <c r="A2207" s="19" t="s">
        <v>4818</v>
      </c>
    </row>
    <row r="2208" spans="1:1" x14ac:dyDescent="0.25">
      <c r="A2208" s="19" t="s">
        <v>4819</v>
      </c>
    </row>
    <row r="2209" spans="1:1" x14ac:dyDescent="0.25">
      <c r="A2209" s="19" t="s">
        <v>4820</v>
      </c>
    </row>
    <row r="2210" spans="1:1" x14ac:dyDescent="0.25">
      <c r="A2210" s="19" t="s">
        <v>4821</v>
      </c>
    </row>
    <row r="2211" spans="1:1" x14ac:dyDescent="0.25">
      <c r="A2211" s="19" t="s">
        <v>4822</v>
      </c>
    </row>
    <row r="2212" spans="1:1" x14ac:dyDescent="0.25">
      <c r="A2212" s="19" t="s">
        <v>4823</v>
      </c>
    </row>
    <row r="2213" spans="1:1" x14ac:dyDescent="0.25">
      <c r="A2213" s="19" t="s">
        <v>4824</v>
      </c>
    </row>
    <row r="2214" spans="1:1" x14ac:dyDescent="0.25">
      <c r="A2214" s="19" t="s">
        <v>4825</v>
      </c>
    </row>
    <row r="2215" spans="1:1" x14ac:dyDescent="0.25">
      <c r="A2215" s="19" t="s">
        <v>4826</v>
      </c>
    </row>
    <row r="2216" spans="1:1" x14ac:dyDescent="0.25">
      <c r="A2216" s="19" t="s">
        <v>4827</v>
      </c>
    </row>
    <row r="2217" spans="1:1" x14ac:dyDescent="0.25">
      <c r="A2217" s="19" t="s">
        <v>4828</v>
      </c>
    </row>
    <row r="2218" spans="1:1" x14ac:dyDescent="0.25">
      <c r="A2218" s="19" t="s">
        <v>4829</v>
      </c>
    </row>
    <row r="2219" spans="1:1" x14ac:dyDescent="0.25">
      <c r="A2219" s="19" t="s">
        <v>4830</v>
      </c>
    </row>
    <row r="2220" spans="1:1" x14ac:dyDescent="0.25">
      <c r="A2220" s="19" t="s">
        <v>4831</v>
      </c>
    </row>
    <row r="2221" spans="1:1" x14ac:dyDescent="0.25">
      <c r="A2221" s="19" t="s">
        <v>4832</v>
      </c>
    </row>
    <row r="2222" spans="1:1" x14ac:dyDescent="0.25">
      <c r="A2222" s="19" t="s">
        <v>4833</v>
      </c>
    </row>
    <row r="2223" spans="1:1" x14ac:dyDescent="0.25">
      <c r="A2223" s="19" t="s">
        <v>4834</v>
      </c>
    </row>
    <row r="2224" spans="1:1" x14ac:dyDescent="0.25">
      <c r="A2224" s="19" t="s">
        <v>4835</v>
      </c>
    </row>
    <row r="2225" spans="1:1" x14ac:dyDescent="0.25">
      <c r="A2225" s="19" t="s">
        <v>4836</v>
      </c>
    </row>
    <row r="2226" spans="1:1" x14ac:dyDescent="0.25">
      <c r="A2226" s="19" t="s">
        <v>4837</v>
      </c>
    </row>
    <row r="2227" spans="1:1" x14ac:dyDescent="0.25">
      <c r="A2227" s="19" t="s">
        <v>4838</v>
      </c>
    </row>
    <row r="2228" spans="1:1" x14ac:dyDescent="0.25">
      <c r="A2228" s="19" t="s">
        <v>4839</v>
      </c>
    </row>
    <row r="2229" spans="1:1" x14ac:dyDescent="0.25">
      <c r="A2229" s="19" t="s">
        <v>4840</v>
      </c>
    </row>
    <row r="2230" spans="1:1" x14ac:dyDescent="0.25">
      <c r="A2230" s="19" t="s">
        <v>4841</v>
      </c>
    </row>
    <row r="2231" spans="1:1" x14ac:dyDescent="0.25">
      <c r="A2231" s="19" t="s">
        <v>4842</v>
      </c>
    </row>
    <row r="2232" spans="1:1" x14ac:dyDescent="0.25">
      <c r="A2232" s="19" t="s">
        <v>4843</v>
      </c>
    </row>
    <row r="2233" spans="1:1" x14ac:dyDescent="0.25">
      <c r="A2233" s="19" t="s">
        <v>4844</v>
      </c>
    </row>
    <row r="2234" spans="1:1" x14ac:dyDescent="0.25">
      <c r="A2234" s="19" t="s">
        <v>4845</v>
      </c>
    </row>
    <row r="2235" spans="1:1" x14ac:dyDescent="0.25">
      <c r="A2235" s="19" t="s">
        <v>4846</v>
      </c>
    </row>
    <row r="2236" spans="1:1" x14ac:dyDescent="0.25">
      <c r="A2236" s="19" t="s">
        <v>4847</v>
      </c>
    </row>
    <row r="2237" spans="1:1" x14ac:dyDescent="0.25">
      <c r="A2237" s="19" t="s">
        <v>4848</v>
      </c>
    </row>
    <row r="2238" spans="1:1" x14ac:dyDescent="0.25">
      <c r="A2238" s="19" t="s">
        <v>4849</v>
      </c>
    </row>
    <row r="2239" spans="1:1" x14ac:dyDescent="0.25">
      <c r="A2239" s="19" t="s">
        <v>4850</v>
      </c>
    </row>
    <row r="2240" spans="1:1" x14ac:dyDescent="0.25">
      <c r="A2240" s="19" t="s">
        <v>4851</v>
      </c>
    </row>
    <row r="2241" spans="1:1" x14ac:dyDescent="0.25">
      <c r="A2241" s="19" t="s">
        <v>4852</v>
      </c>
    </row>
    <row r="2242" spans="1:1" x14ac:dyDescent="0.25">
      <c r="A2242" s="19" t="s">
        <v>4853</v>
      </c>
    </row>
    <row r="2243" spans="1:1" x14ac:dyDescent="0.25">
      <c r="A2243" s="19" t="s">
        <v>4854</v>
      </c>
    </row>
    <row r="2244" spans="1:1" x14ac:dyDescent="0.25">
      <c r="A2244" s="19" t="s">
        <v>4855</v>
      </c>
    </row>
    <row r="2245" spans="1:1" x14ac:dyDescent="0.25">
      <c r="A2245" s="19" t="s">
        <v>4856</v>
      </c>
    </row>
    <row r="2246" spans="1:1" x14ac:dyDescent="0.25">
      <c r="A2246" s="19" t="s">
        <v>4857</v>
      </c>
    </row>
    <row r="2247" spans="1:1" x14ac:dyDescent="0.25">
      <c r="A2247" s="19" t="s">
        <v>4858</v>
      </c>
    </row>
    <row r="2248" spans="1:1" x14ac:dyDescent="0.25">
      <c r="A2248" s="19" t="s">
        <v>4859</v>
      </c>
    </row>
    <row r="2249" spans="1:1" x14ac:dyDescent="0.25">
      <c r="A2249" s="19" t="s">
        <v>4860</v>
      </c>
    </row>
    <row r="2250" spans="1:1" x14ac:dyDescent="0.25">
      <c r="A2250" s="19" t="s">
        <v>4861</v>
      </c>
    </row>
    <row r="2251" spans="1:1" x14ac:dyDescent="0.25">
      <c r="A2251" s="19" t="s">
        <v>4862</v>
      </c>
    </row>
    <row r="2252" spans="1:1" x14ac:dyDescent="0.25">
      <c r="A2252" s="19" t="s">
        <v>4863</v>
      </c>
    </row>
    <row r="2253" spans="1:1" x14ac:dyDescent="0.25">
      <c r="A2253" s="19" t="s">
        <v>4864</v>
      </c>
    </row>
    <row r="2254" spans="1:1" x14ac:dyDescent="0.25">
      <c r="A2254" s="19" t="s">
        <v>4865</v>
      </c>
    </row>
    <row r="2255" spans="1:1" x14ac:dyDescent="0.25">
      <c r="A2255" s="19" t="s">
        <v>4866</v>
      </c>
    </row>
    <row r="2256" spans="1:1" x14ac:dyDescent="0.25">
      <c r="A2256" s="19" t="s">
        <v>4867</v>
      </c>
    </row>
    <row r="2257" spans="1:1" x14ac:dyDescent="0.25">
      <c r="A2257" s="19" t="s">
        <v>4868</v>
      </c>
    </row>
    <row r="2258" spans="1:1" x14ac:dyDescent="0.25">
      <c r="A2258" s="19" t="s">
        <v>4869</v>
      </c>
    </row>
    <row r="2259" spans="1:1" x14ac:dyDescent="0.25">
      <c r="A2259" s="19" t="s">
        <v>4870</v>
      </c>
    </row>
    <row r="2260" spans="1:1" x14ac:dyDescent="0.25">
      <c r="A2260" s="19" t="s">
        <v>4871</v>
      </c>
    </row>
    <row r="2261" spans="1:1" x14ac:dyDescent="0.25">
      <c r="A2261" s="19" t="s">
        <v>4872</v>
      </c>
    </row>
    <row r="2262" spans="1:1" x14ac:dyDescent="0.25">
      <c r="A2262" s="19" t="s">
        <v>4873</v>
      </c>
    </row>
    <row r="2263" spans="1:1" x14ac:dyDescent="0.25">
      <c r="A2263" s="19" t="s">
        <v>4874</v>
      </c>
    </row>
    <row r="2264" spans="1:1" x14ac:dyDescent="0.25">
      <c r="A2264" s="19" t="s">
        <v>4875</v>
      </c>
    </row>
    <row r="2265" spans="1:1" x14ac:dyDescent="0.25">
      <c r="A2265" s="19" t="s">
        <v>4876</v>
      </c>
    </row>
    <row r="2266" spans="1:1" x14ac:dyDescent="0.25">
      <c r="A2266" s="19" t="s">
        <v>4877</v>
      </c>
    </row>
    <row r="2267" spans="1:1" x14ac:dyDescent="0.25">
      <c r="A2267" s="19" t="s">
        <v>4878</v>
      </c>
    </row>
    <row r="2268" spans="1:1" x14ac:dyDescent="0.25">
      <c r="A2268" s="19" t="s">
        <v>4879</v>
      </c>
    </row>
    <row r="2269" spans="1:1" x14ac:dyDescent="0.25">
      <c r="A2269" s="19" t="s">
        <v>4880</v>
      </c>
    </row>
    <row r="2270" spans="1:1" x14ac:dyDescent="0.25">
      <c r="A2270" s="19" t="s">
        <v>4881</v>
      </c>
    </row>
    <row r="2271" spans="1:1" x14ac:dyDescent="0.25">
      <c r="A2271" s="19" t="s">
        <v>4882</v>
      </c>
    </row>
    <row r="2272" spans="1:1" x14ac:dyDescent="0.25">
      <c r="A2272" s="19" t="s">
        <v>4883</v>
      </c>
    </row>
    <row r="2273" spans="1:1" x14ac:dyDescent="0.25">
      <c r="A2273" s="19" t="s">
        <v>4883</v>
      </c>
    </row>
    <row r="2274" spans="1:1" x14ac:dyDescent="0.25">
      <c r="A2274" s="19" t="s">
        <v>4884</v>
      </c>
    </row>
    <row r="2275" spans="1:1" x14ac:dyDescent="0.25">
      <c r="A2275" s="19" t="s">
        <v>4885</v>
      </c>
    </row>
    <row r="2276" spans="1:1" x14ac:dyDescent="0.25">
      <c r="A2276" s="19" t="s">
        <v>4886</v>
      </c>
    </row>
    <row r="2277" spans="1:1" x14ac:dyDescent="0.25">
      <c r="A2277" s="19" t="s">
        <v>4887</v>
      </c>
    </row>
    <row r="2278" spans="1:1" x14ac:dyDescent="0.25">
      <c r="A2278" s="19" t="s">
        <v>4888</v>
      </c>
    </row>
    <row r="2279" spans="1:1" x14ac:dyDescent="0.25">
      <c r="A2279" s="19" t="s">
        <v>4889</v>
      </c>
    </row>
    <row r="2280" spans="1:1" x14ac:dyDescent="0.25">
      <c r="A2280" s="19" t="s">
        <v>4890</v>
      </c>
    </row>
    <row r="2281" spans="1:1" x14ac:dyDescent="0.25">
      <c r="A2281" s="19" t="s">
        <v>4891</v>
      </c>
    </row>
    <row r="2282" spans="1:1" x14ac:dyDescent="0.25">
      <c r="A2282" s="19" t="s">
        <v>4892</v>
      </c>
    </row>
    <row r="2283" spans="1:1" x14ac:dyDescent="0.25">
      <c r="A2283" s="19" t="s">
        <v>4893</v>
      </c>
    </row>
    <row r="2284" spans="1:1" x14ac:dyDescent="0.25">
      <c r="A2284" s="19" t="s">
        <v>4894</v>
      </c>
    </row>
    <row r="2285" spans="1:1" x14ac:dyDescent="0.25">
      <c r="A2285" s="19" t="s">
        <v>4895</v>
      </c>
    </row>
    <row r="2286" spans="1:1" x14ac:dyDescent="0.25">
      <c r="A2286" s="19" t="s">
        <v>4896</v>
      </c>
    </row>
    <row r="2287" spans="1:1" x14ac:dyDescent="0.25">
      <c r="A2287" s="19" t="s">
        <v>4897</v>
      </c>
    </row>
    <row r="2288" spans="1:1" x14ac:dyDescent="0.25">
      <c r="A2288" s="19" t="s">
        <v>4898</v>
      </c>
    </row>
    <row r="2289" spans="1:1" x14ac:dyDescent="0.25">
      <c r="A2289" s="19" t="s">
        <v>4899</v>
      </c>
    </row>
    <row r="2290" spans="1:1" x14ac:dyDescent="0.25">
      <c r="A2290" s="19" t="s">
        <v>4900</v>
      </c>
    </row>
    <row r="2291" spans="1:1" x14ac:dyDescent="0.25">
      <c r="A2291" s="19" t="s">
        <v>4901</v>
      </c>
    </row>
    <row r="2292" spans="1:1" x14ac:dyDescent="0.25">
      <c r="A2292" s="19" t="s">
        <v>4902</v>
      </c>
    </row>
    <row r="2293" spans="1:1" x14ac:dyDescent="0.25">
      <c r="A2293" s="19" t="s">
        <v>4903</v>
      </c>
    </row>
    <row r="2294" spans="1:1" x14ac:dyDescent="0.25">
      <c r="A2294" s="19" t="s">
        <v>4904</v>
      </c>
    </row>
    <row r="2295" spans="1:1" x14ac:dyDescent="0.25">
      <c r="A2295" s="19" t="s">
        <v>4905</v>
      </c>
    </row>
    <row r="2296" spans="1:1" x14ac:dyDescent="0.25">
      <c r="A2296" s="19" t="s">
        <v>4906</v>
      </c>
    </row>
    <row r="2297" spans="1:1" x14ac:dyDescent="0.25">
      <c r="A2297" s="19" t="s">
        <v>4907</v>
      </c>
    </row>
    <row r="2298" spans="1:1" x14ac:dyDescent="0.25">
      <c r="A2298" s="19" t="s">
        <v>4908</v>
      </c>
    </row>
    <row r="2299" spans="1:1" x14ac:dyDescent="0.25">
      <c r="A2299" s="19" t="s">
        <v>4909</v>
      </c>
    </row>
    <row r="2300" spans="1:1" x14ac:dyDescent="0.25">
      <c r="A2300" s="19" t="s">
        <v>4910</v>
      </c>
    </row>
    <row r="2301" spans="1:1" x14ac:dyDescent="0.25">
      <c r="A2301" s="19" t="s">
        <v>4911</v>
      </c>
    </row>
    <row r="2302" spans="1:1" x14ac:dyDescent="0.25">
      <c r="A2302" s="19" t="s">
        <v>4912</v>
      </c>
    </row>
    <row r="2303" spans="1:1" x14ac:dyDescent="0.25">
      <c r="A2303" s="19" t="s">
        <v>4913</v>
      </c>
    </row>
    <row r="2304" spans="1:1" x14ac:dyDescent="0.25">
      <c r="A2304" s="19" t="s">
        <v>4914</v>
      </c>
    </row>
    <row r="2305" spans="1:1" x14ac:dyDescent="0.25">
      <c r="A2305" s="19" t="s">
        <v>4915</v>
      </c>
    </row>
    <row r="2306" spans="1:1" x14ac:dyDescent="0.25">
      <c r="A2306" s="19" t="s">
        <v>4916</v>
      </c>
    </row>
    <row r="2307" spans="1:1" x14ac:dyDescent="0.25">
      <c r="A2307" s="19" t="s">
        <v>4917</v>
      </c>
    </row>
    <row r="2308" spans="1:1" x14ac:dyDescent="0.25">
      <c r="A2308" s="19" t="s">
        <v>4918</v>
      </c>
    </row>
    <row r="2309" spans="1:1" x14ac:dyDescent="0.25">
      <c r="A2309" s="19" t="s">
        <v>4919</v>
      </c>
    </row>
    <row r="2310" spans="1:1" x14ac:dyDescent="0.25">
      <c r="A2310" s="19" t="s">
        <v>4920</v>
      </c>
    </row>
    <row r="2311" spans="1:1" x14ac:dyDescent="0.25">
      <c r="A2311" s="19" t="s">
        <v>4921</v>
      </c>
    </row>
    <row r="2312" spans="1:1" x14ac:dyDescent="0.25">
      <c r="A2312" s="19" t="s">
        <v>4922</v>
      </c>
    </row>
    <row r="2313" spans="1:1" x14ac:dyDescent="0.25">
      <c r="A2313" s="19" t="s">
        <v>4922</v>
      </c>
    </row>
    <row r="2314" spans="1:1" x14ac:dyDescent="0.25">
      <c r="A2314" s="19" t="s">
        <v>4923</v>
      </c>
    </row>
    <row r="2315" spans="1:1" x14ac:dyDescent="0.25">
      <c r="A2315" s="19" t="s">
        <v>4924</v>
      </c>
    </row>
    <row r="2316" spans="1:1" x14ac:dyDescent="0.25">
      <c r="A2316" s="19" t="s">
        <v>4925</v>
      </c>
    </row>
    <row r="2317" spans="1:1" x14ac:dyDescent="0.25">
      <c r="A2317" s="19" t="s">
        <v>4926</v>
      </c>
    </row>
    <row r="2318" spans="1:1" x14ac:dyDescent="0.25">
      <c r="A2318" s="19" t="s">
        <v>4927</v>
      </c>
    </row>
    <row r="2319" spans="1:1" x14ac:dyDescent="0.25">
      <c r="A2319" s="19" t="s">
        <v>4928</v>
      </c>
    </row>
    <row r="2320" spans="1:1" x14ac:dyDescent="0.25">
      <c r="A2320" s="19" t="s">
        <v>4929</v>
      </c>
    </row>
    <row r="2321" spans="1:1" x14ac:dyDescent="0.25">
      <c r="A2321" s="19" t="s">
        <v>4930</v>
      </c>
    </row>
    <row r="2322" spans="1:1" x14ac:dyDescent="0.25">
      <c r="A2322" s="19" t="s">
        <v>4931</v>
      </c>
    </row>
    <row r="2323" spans="1:1" x14ac:dyDescent="0.25">
      <c r="A2323" s="19" t="s">
        <v>4932</v>
      </c>
    </row>
    <row r="2324" spans="1:1" x14ac:dyDescent="0.25">
      <c r="A2324" s="19" t="s">
        <v>4933</v>
      </c>
    </row>
    <row r="2325" spans="1:1" x14ac:dyDescent="0.25">
      <c r="A2325" s="19" t="s">
        <v>4934</v>
      </c>
    </row>
    <row r="2326" spans="1:1" x14ac:dyDescent="0.25">
      <c r="A2326" s="19" t="s">
        <v>4935</v>
      </c>
    </row>
    <row r="2327" spans="1:1" x14ac:dyDescent="0.25">
      <c r="A2327" s="19" t="s">
        <v>4936</v>
      </c>
    </row>
    <row r="2328" spans="1:1" x14ac:dyDescent="0.25">
      <c r="A2328" s="19" t="s">
        <v>4936</v>
      </c>
    </row>
    <row r="2329" spans="1:1" x14ac:dyDescent="0.25">
      <c r="A2329" s="19" t="s">
        <v>4937</v>
      </c>
    </row>
    <row r="2330" spans="1:1" x14ac:dyDescent="0.25">
      <c r="A2330" s="19" t="s">
        <v>4938</v>
      </c>
    </row>
    <row r="2331" spans="1:1" x14ac:dyDescent="0.25">
      <c r="A2331" s="19" t="s">
        <v>4939</v>
      </c>
    </row>
    <row r="2332" spans="1:1" x14ac:dyDescent="0.25">
      <c r="A2332" s="19" t="s">
        <v>4940</v>
      </c>
    </row>
    <row r="2333" spans="1:1" x14ac:dyDescent="0.25">
      <c r="A2333" s="19" t="s">
        <v>4941</v>
      </c>
    </row>
    <row r="2334" spans="1:1" x14ac:dyDescent="0.25">
      <c r="A2334" s="19" t="s">
        <v>4942</v>
      </c>
    </row>
    <row r="2335" spans="1:1" x14ac:dyDescent="0.25">
      <c r="A2335" s="19" t="s">
        <v>4943</v>
      </c>
    </row>
    <row r="2336" spans="1:1" x14ac:dyDescent="0.25">
      <c r="A2336" s="19" t="s">
        <v>4944</v>
      </c>
    </row>
    <row r="2337" spans="1:1" x14ac:dyDescent="0.25">
      <c r="A2337" s="19" t="s">
        <v>4945</v>
      </c>
    </row>
    <row r="2338" spans="1:1" x14ac:dyDescent="0.25">
      <c r="A2338" s="19" t="s">
        <v>4946</v>
      </c>
    </row>
    <row r="2339" spans="1:1" x14ac:dyDescent="0.25">
      <c r="A2339" s="19" t="s">
        <v>4947</v>
      </c>
    </row>
    <row r="2340" spans="1:1" x14ac:dyDescent="0.25">
      <c r="A2340" s="19" t="s">
        <v>4948</v>
      </c>
    </row>
    <row r="2341" spans="1:1" x14ac:dyDescent="0.25">
      <c r="A2341" s="19" t="s">
        <v>4949</v>
      </c>
    </row>
    <row r="2342" spans="1:1" x14ac:dyDescent="0.25">
      <c r="A2342" s="19" t="s">
        <v>4950</v>
      </c>
    </row>
    <row r="2343" spans="1:1" x14ac:dyDescent="0.25">
      <c r="A2343" s="19" t="s">
        <v>4951</v>
      </c>
    </row>
    <row r="2344" spans="1:1" x14ac:dyDescent="0.25">
      <c r="A2344" s="19" t="s">
        <v>4952</v>
      </c>
    </row>
    <row r="2345" spans="1:1" x14ac:dyDescent="0.25">
      <c r="A2345" s="19" t="s">
        <v>4953</v>
      </c>
    </row>
    <row r="2346" spans="1:1" x14ac:dyDescent="0.25">
      <c r="A2346" s="19" t="s">
        <v>4954</v>
      </c>
    </row>
    <row r="2347" spans="1:1" x14ac:dyDescent="0.25">
      <c r="A2347" s="19" t="s">
        <v>4955</v>
      </c>
    </row>
    <row r="2348" spans="1:1" x14ac:dyDescent="0.25">
      <c r="A2348" s="19" t="s">
        <v>4956</v>
      </c>
    </row>
    <row r="2349" spans="1:1" x14ac:dyDescent="0.25">
      <c r="A2349" s="19" t="s">
        <v>4957</v>
      </c>
    </row>
    <row r="2350" spans="1:1" x14ac:dyDescent="0.25">
      <c r="A2350" s="19" t="s">
        <v>4958</v>
      </c>
    </row>
    <row r="2351" spans="1:1" x14ac:dyDescent="0.25">
      <c r="A2351" s="19" t="s">
        <v>4959</v>
      </c>
    </row>
    <row r="2352" spans="1:1" x14ac:dyDescent="0.25">
      <c r="A2352" s="19" t="s">
        <v>4960</v>
      </c>
    </row>
    <row r="2353" spans="1:1" x14ac:dyDescent="0.25">
      <c r="A2353" s="19" t="s">
        <v>4961</v>
      </c>
    </row>
    <row r="2354" spans="1:1" x14ac:dyDescent="0.25">
      <c r="A2354" s="19" t="s">
        <v>4962</v>
      </c>
    </row>
    <row r="2355" spans="1:1" x14ac:dyDescent="0.25">
      <c r="A2355" s="19" t="s">
        <v>4963</v>
      </c>
    </row>
    <row r="2356" spans="1:1" x14ac:dyDescent="0.25">
      <c r="A2356" s="19" t="s">
        <v>4964</v>
      </c>
    </row>
    <row r="2357" spans="1:1" x14ac:dyDescent="0.25">
      <c r="A2357" s="19" t="s">
        <v>4965</v>
      </c>
    </row>
    <row r="2358" spans="1:1" x14ac:dyDescent="0.25">
      <c r="A2358" s="19" t="s">
        <v>4966</v>
      </c>
    </row>
    <row r="2359" spans="1:1" x14ac:dyDescent="0.25">
      <c r="A2359" s="19" t="s">
        <v>4967</v>
      </c>
    </row>
    <row r="2360" spans="1:1" x14ac:dyDescent="0.25">
      <c r="A2360" s="19" t="s">
        <v>4968</v>
      </c>
    </row>
    <row r="2361" spans="1:1" x14ac:dyDescent="0.25">
      <c r="A2361" s="19" t="s">
        <v>4969</v>
      </c>
    </row>
    <row r="2362" spans="1:1" x14ac:dyDescent="0.25">
      <c r="A2362" s="19" t="s">
        <v>4970</v>
      </c>
    </row>
    <row r="2363" spans="1:1" x14ac:dyDescent="0.25">
      <c r="A2363" s="19" t="s">
        <v>4971</v>
      </c>
    </row>
    <row r="2364" spans="1:1" x14ac:dyDescent="0.25">
      <c r="A2364" s="19" t="s">
        <v>4972</v>
      </c>
    </row>
    <row r="2365" spans="1:1" x14ac:dyDescent="0.25">
      <c r="A2365" s="19" t="s">
        <v>4973</v>
      </c>
    </row>
    <row r="2366" spans="1:1" x14ac:dyDescent="0.25">
      <c r="A2366" s="19" t="s">
        <v>4974</v>
      </c>
    </row>
    <row r="2367" spans="1:1" x14ac:dyDescent="0.25">
      <c r="A2367" s="19" t="s">
        <v>4975</v>
      </c>
    </row>
    <row r="2368" spans="1:1" x14ac:dyDescent="0.25">
      <c r="A2368" s="19" t="s">
        <v>4975</v>
      </c>
    </row>
    <row r="2369" spans="1:1" x14ac:dyDescent="0.25">
      <c r="A2369" s="19" t="s">
        <v>4976</v>
      </c>
    </row>
    <row r="2370" spans="1:1" x14ac:dyDescent="0.25">
      <c r="A2370" s="19" t="s">
        <v>4977</v>
      </c>
    </row>
    <row r="2371" spans="1:1" x14ac:dyDescent="0.25">
      <c r="A2371" s="19" t="s">
        <v>4977</v>
      </c>
    </row>
    <row r="2372" spans="1:1" x14ac:dyDescent="0.25">
      <c r="A2372" s="19" t="s">
        <v>4978</v>
      </c>
    </row>
    <row r="2373" spans="1:1" x14ac:dyDescent="0.25">
      <c r="A2373" s="19" t="s">
        <v>4979</v>
      </c>
    </row>
    <row r="2374" spans="1:1" x14ac:dyDescent="0.25">
      <c r="A2374" s="19" t="s">
        <v>4980</v>
      </c>
    </row>
    <row r="2375" spans="1:1" x14ac:dyDescent="0.25">
      <c r="A2375" s="19" t="s">
        <v>4981</v>
      </c>
    </row>
    <row r="2376" spans="1:1" x14ac:dyDescent="0.25">
      <c r="A2376" s="19" t="s">
        <v>4982</v>
      </c>
    </row>
    <row r="2377" spans="1:1" x14ac:dyDescent="0.25">
      <c r="A2377" s="19" t="s">
        <v>4983</v>
      </c>
    </row>
    <row r="2378" spans="1:1" x14ac:dyDescent="0.25">
      <c r="A2378" s="19" t="s">
        <v>4984</v>
      </c>
    </row>
    <row r="2379" spans="1:1" x14ac:dyDescent="0.25">
      <c r="A2379" s="19" t="s">
        <v>4985</v>
      </c>
    </row>
    <row r="2380" spans="1:1" x14ac:dyDescent="0.25">
      <c r="A2380" s="19" t="s">
        <v>4986</v>
      </c>
    </row>
    <row r="2381" spans="1:1" x14ac:dyDescent="0.25">
      <c r="A2381" s="19" t="s">
        <v>4987</v>
      </c>
    </row>
    <row r="2382" spans="1:1" x14ac:dyDescent="0.25">
      <c r="A2382" s="19" t="s">
        <v>4988</v>
      </c>
    </row>
    <row r="2383" spans="1:1" x14ac:dyDescent="0.25">
      <c r="A2383" s="19" t="s">
        <v>4989</v>
      </c>
    </row>
    <row r="2384" spans="1:1" x14ac:dyDescent="0.25">
      <c r="A2384" s="19" t="s">
        <v>4990</v>
      </c>
    </row>
    <row r="2385" spans="1:1" x14ac:dyDescent="0.25">
      <c r="A2385" s="19" t="s">
        <v>4991</v>
      </c>
    </row>
    <row r="2386" spans="1:1" x14ac:dyDescent="0.25">
      <c r="A2386" s="19" t="s">
        <v>4992</v>
      </c>
    </row>
    <row r="2387" spans="1:1" x14ac:dyDescent="0.25">
      <c r="A2387" s="19" t="s">
        <v>4993</v>
      </c>
    </row>
    <row r="2388" spans="1:1" x14ac:dyDescent="0.25">
      <c r="A2388" s="19" t="s">
        <v>4994</v>
      </c>
    </row>
    <row r="2389" spans="1:1" x14ac:dyDescent="0.25">
      <c r="A2389" s="19" t="s">
        <v>4995</v>
      </c>
    </row>
    <row r="2390" spans="1:1" x14ac:dyDescent="0.25">
      <c r="A2390" s="19" t="s">
        <v>4996</v>
      </c>
    </row>
    <row r="2391" spans="1:1" x14ac:dyDescent="0.25">
      <c r="A2391" s="19" t="s">
        <v>4997</v>
      </c>
    </row>
    <row r="2392" spans="1:1" x14ac:dyDescent="0.25">
      <c r="A2392" s="19" t="s">
        <v>4998</v>
      </c>
    </row>
    <row r="2393" spans="1:1" x14ac:dyDescent="0.25">
      <c r="A2393" s="19" t="s">
        <v>4999</v>
      </c>
    </row>
    <row r="2394" spans="1:1" x14ac:dyDescent="0.25">
      <c r="A2394" s="19" t="s">
        <v>5000</v>
      </c>
    </row>
    <row r="2395" spans="1:1" x14ac:dyDescent="0.25">
      <c r="A2395" s="19" t="s">
        <v>5001</v>
      </c>
    </row>
    <row r="2396" spans="1:1" x14ac:dyDescent="0.25">
      <c r="A2396" s="19" t="s">
        <v>5002</v>
      </c>
    </row>
    <row r="2397" spans="1:1" x14ac:dyDescent="0.25">
      <c r="A2397" s="19" t="s">
        <v>5003</v>
      </c>
    </row>
    <row r="2398" spans="1:1" x14ac:dyDescent="0.25">
      <c r="A2398" s="19" t="s">
        <v>5004</v>
      </c>
    </row>
    <row r="2399" spans="1:1" x14ac:dyDescent="0.25">
      <c r="A2399" s="19" t="s">
        <v>5005</v>
      </c>
    </row>
    <row r="2400" spans="1:1" x14ac:dyDescent="0.25">
      <c r="A2400" s="19" t="s">
        <v>5006</v>
      </c>
    </row>
    <row r="2401" spans="1:1" x14ac:dyDescent="0.25">
      <c r="A2401" s="19" t="s">
        <v>5007</v>
      </c>
    </row>
    <row r="2402" spans="1:1" x14ac:dyDescent="0.25">
      <c r="A2402" s="19" t="s">
        <v>5008</v>
      </c>
    </row>
    <row r="2403" spans="1:1" x14ac:dyDescent="0.25">
      <c r="A2403" s="19" t="s">
        <v>5009</v>
      </c>
    </row>
    <row r="2404" spans="1:1" x14ac:dyDescent="0.25">
      <c r="A2404" s="19" t="s">
        <v>5010</v>
      </c>
    </row>
    <row r="2405" spans="1:1" x14ac:dyDescent="0.25">
      <c r="A2405" s="19" t="s">
        <v>5011</v>
      </c>
    </row>
    <row r="2406" spans="1:1" x14ac:dyDescent="0.25">
      <c r="A2406" s="19" t="s">
        <v>5012</v>
      </c>
    </row>
    <row r="2407" spans="1:1" x14ac:dyDescent="0.25">
      <c r="A2407" s="19" t="s">
        <v>5013</v>
      </c>
    </row>
    <row r="2408" spans="1:1" x14ac:dyDescent="0.25">
      <c r="A2408" s="19" t="s">
        <v>5014</v>
      </c>
    </row>
    <row r="2409" spans="1:1" x14ac:dyDescent="0.25">
      <c r="A2409" s="19" t="s">
        <v>5015</v>
      </c>
    </row>
    <row r="2410" spans="1:1" x14ac:dyDescent="0.25">
      <c r="A2410" s="19" t="s">
        <v>5016</v>
      </c>
    </row>
    <row r="2411" spans="1:1" x14ac:dyDescent="0.25">
      <c r="A2411" s="19" t="s">
        <v>5017</v>
      </c>
    </row>
    <row r="2412" spans="1:1" x14ac:dyDescent="0.25">
      <c r="A2412" s="19" t="s">
        <v>5018</v>
      </c>
    </row>
    <row r="2413" spans="1:1" x14ac:dyDescent="0.25">
      <c r="A2413" s="19" t="s">
        <v>5019</v>
      </c>
    </row>
    <row r="2414" spans="1:1" x14ac:dyDescent="0.25">
      <c r="A2414" s="19" t="s">
        <v>5020</v>
      </c>
    </row>
    <row r="2415" spans="1:1" x14ac:dyDescent="0.25">
      <c r="A2415" s="19" t="s">
        <v>5021</v>
      </c>
    </row>
    <row r="2416" spans="1:1" x14ac:dyDescent="0.25">
      <c r="A2416" s="19" t="s">
        <v>5022</v>
      </c>
    </row>
    <row r="2417" spans="1:1" x14ac:dyDescent="0.25">
      <c r="A2417" s="19" t="s">
        <v>5023</v>
      </c>
    </row>
    <row r="2418" spans="1:1" x14ac:dyDescent="0.25">
      <c r="A2418" s="19" t="s">
        <v>5024</v>
      </c>
    </row>
    <row r="2419" spans="1:1" x14ac:dyDescent="0.25">
      <c r="A2419" s="19" t="s">
        <v>5025</v>
      </c>
    </row>
    <row r="2420" spans="1:1" x14ac:dyDescent="0.25">
      <c r="A2420" s="19" t="s">
        <v>5026</v>
      </c>
    </row>
    <row r="2421" spans="1:1" x14ac:dyDescent="0.25">
      <c r="A2421" s="19" t="s">
        <v>5027</v>
      </c>
    </row>
    <row r="2422" spans="1:1" x14ac:dyDescent="0.25">
      <c r="A2422" s="19" t="s">
        <v>5028</v>
      </c>
    </row>
    <row r="2423" spans="1:1" x14ac:dyDescent="0.25">
      <c r="A2423" s="19" t="s">
        <v>5029</v>
      </c>
    </row>
    <row r="2424" spans="1:1" x14ac:dyDescent="0.25">
      <c r="A2424" s="19" t="s">
        <v>5030</v>
      </c>
    </row>
    <row r="2425" spans="1:1" x14ac:dyDescent="0.25">
      <c r="A2425" s="19" t="s">
        <v>5031</v>
      </c>
    </row>
    <row r="2426" spans="1:1" x14ac:dyDescent="0.25">
      <c r="A2426" s="19" t="s">
        <v>5032</v>
      </c>
    </row>
    <row r="2427" spans="1:1" x14ac:dyDescent="0.25">
      <c r="A2427" s="19" t="s">
        <v>5033</v>
      </c>
    </row>
    <row r="2428" spans="1:1" x14ac:dyDescent="0.25">
      <c r="A2428" s="19" t="s">
        <v>5034</v>
      </c>
    </row>
    <row r="2429" spans="1:1" x14ac:dyDescent="0.25">
      <c r="A2429" s="19" t="s">
        <v>5035</v>
      </c>
    </row>
    <row r="2430" spans="1:1" x14ac:dyDescent="0.25">
      <c r="A2430" s="19" t="s">
        <v>5036</v>
      </c>
    </row>
    <row r="2431" spans="1:1" x14ac:dyDescent="0.25">
      <c r="A2431" s="19" t="s">
        <v>5037</v>
      </c>
    </row>
    <row r="2432" spans="1:1" x14ac:dyDescent="0.25">
      <c r="A2432" s="19" t="s">
        <v>5038</v>
      </c>
    </row>
    <row r="2433" spans="1:1" x14ac:dyDescent="0.25">
      <c r="A2433" s="19" t="s">
        <v>5039</v>
      </c>
    </row>
    <row r="2434" spans="1:1" x14ac:dyDescent="0.25">
      <c r="A2434" s="19" t="s">
        <v>5040</v>
      </c>
    </row>
    <row r="2435" spans="1:1" x14ac:dyDescent="0.25">
      <c r="A2435" s="19" t="s">
        <v>5041</v>
      </c>
    </row>
    <row r="2436" spans="1:1" x14ac:dyDescent="0.25">
      <c r="A2436" s="19" t="s">
        <v>5042</v>
      </c>
    </row>
    <row r="2437" spans="1:1" x14ac:dyDescent="0.25">
      <c r="A2437" s="19" t="s">
        <v>5043</v>
      </c>
    </row>
    <row r="2438" spans="1:1" x14ac:dyDescent="0.25">
      <c r="A2438" s="19" t="s">
        <v>5044</v>
      </c>
    </row>
    <row r="2439" spans="1:1" x14ac:dyDescent="0.25">
      <c r="A2439" s="19" t="s">
        <v>5045</v>
      </c>
    </row>
    <row r="2440" spans="1:1" x14ac:dyDescent="0.25">
      <c r="A2440" s="19" t="s">
        <v>5046</v>
      </c>
    </row>
    <row r="2441" spans="1:1" x14ac:dyDescent="0.25">
      <c r="A2441" s="19" t="s">
        <v>5047</v>
      </c>
    </row>
    <row r="2442" spans="1:1" x14ac:dyDescent="0.25">
      <c r="A2442" s="19" t="s">
        <v>5048</v>
      </c>
    </row>
    <row r="2443" spans="1:1" x14ac:dyDescent="0.25">
      <c r="A2443" s="19" t="s">
        <v>5049</v>
      </c>
    </row>
    <row r="2444" spans="1:1" x14ac:dyDescent="0.25">
      <c r="A2444" s="19" t="s">
        <v>5050</v>
      </c>
    </row>
    <row r="2445" spans="1:1" x14ac:dyDescent="0.25">
      <c r="A2445" s="19" t="s">
        <v>5051</v>
      </c>
    </row>
    <row r="2446" spans="1:1" x14ac:dyDescent="0.25">
      <c r="A2446" s="19" t="s">
        <v>5052</v>
      </c>
    </row>
    <row r="2447" spans="1:1" x14ac:dyDescent="0.25">
      <c r="A2447" s="19" t="s">
        <v>5053</v>
      </c>
    </row>
    <row r="2448" spans="1:1" x14ac:dyDescent="0.25">
      <c r="A2448" s="19" t="s">
        <v>5054</v>
      </c>
    </row>
    <row r="2449" spans="1:1" x14ac:dyDescent="0.25">
      <c r="A2449" s="19" t="s">
        <v>5055</v>
      </c>
    </row>
    <row r="2450" spans="1:1" x14ac:dyDescent="0.25">
      <c r="A2450" s="19" t="s">
        <v>5056</v>
      </c>
    </row>
    <row r="2451" spans="1:1" x14ac:dyDescent="0.25">
      <c r="A2451" s="19" t="s">
        <v>5057</v>
      </c>
    </row>
    <row r="2452" spans="1:1" x14ac:dyDescent="0.25">
      <c r="A2452" s="19" t="s">
        <v>5058</v>
      </c>
    </row>
    <row r="2453" spans="1:1" x14ac:dyDescent="0.25">
      <c r="A2453" s="19" t="s">
        <v>5059</v>
      </c>
    </row>
    <row r="2454" spans="1:1" x14ac:dyDescent="0.25">
      <c r="A2454" s="19" t="s">
        <v>5060</v>
      </c>
    </row>
    <row r="2455" spans="1:1" x14ac:dyDescent="0.25">
      <c r="A2455" s="19" t="s">
        <v>5061</v>
      </c>
    </row>
    <row r="2456" spans="1:1" x14ac:dyDescent="0.25">
      <c r="A2456" s="19" t="s">
        <v>5062</v>
      </c>
    </row>
    <row r="2457" spans="1:1" x14ac:dyDescent="0.25">
      <c r="A2457" s="19" t="s">
        <v>5063</v>
      </c>
    </row>
    <row r="2458" spans="1:1" x14ac:dyDescent="0.25">
      <c r="A2458" s="19" t="s">
        <v>5064</v>
      </c>
    </row>
    <row r="2459" spans="1:1" x14ac:dyDescent="0.25">
      <c r="A2459" s="19" t="s">
        <v>5065</v>
      </c>
    </row>
    <row r="2460" spans="1:1" x14ac:dyDescent="0.25">
      <c r="A2460" s="19" t="s">
        <v>5066</v>
      </c>
    </row>
    <row r="2461" spans="1:1" x14ac:dyDescent="0.25">
      <c r="A2461" s="19" t="s">
        <v>5067</v>
      </c>
    </row>
    <row r="2462" spans="1:1" x14ac:dyDescent="0.25">
      <c r="A2462" s="19" t="s">
        <v>5068</v>
      </c>
    </row>
    <row r="2463" spans="1:1" x14ac:dyDescent="0.25">
      <c r="A2463" s="19" t="s">
        <v>5069</v>
      </c>
    </row>
    <row r="2464" spans="1:1" x14ac:dyDescent="0.25">
      <c r="A2464" s="19" t="s">
        <v>5070</v>
      </c>
    </row>
    <row r="2465" spans="1:1" x14ac:dyDescent="0.25">
      <c r="A2465" s="19" t="s">
        <v>5070</v>
      </c>
    </row>
    <row r="2466" spans="1:1" x14ac:dyDescent="0.25">
      <c r="A2466" s="19" t="s">
        <v>5071</v>
      </c>
    </row>
    <row r="2467" spans="1:1" x14ac:dyDescent="0.25">
      <c r="A2467" s="19" t="s">
        <v>5072</v>
      </c>
    </row>
    <row r="2468" spans="1:1" x14ac:dyDescent="0.25">
      <c r="A2468" s="19" t="s">
        <v>5073</v>
      </c>
    </row>
    <row r="2469" spans="1:1" x14ac:dyDescent="0.25">
      <c r="A2469" s="19" t="s">
        <v>5074</v>
      </c>
    </row>
    <row r="2470" spans="1:1" x14ac:dyDescent="0.25">
      <c r="A2470" s="19" t="s">
        <v>5075</v>
      </c>
    </row>
    <row r="2471" spans="1:1" x14ac:dyDescent="0.25">
      <c r="A2471" s="19" t="s">
        <v>5075</v>
      </c>
    </row>
    <row r="2472" spans="1:1" x14ac:dyDescent="0.25">
      <c r="A2472" s="19" t="s">
        <v>5076</v>
      </c>
    </row>
    <row r="2473" spans="1:1" x14ac:dyDescent="0.25">
      <c r="A2473" s="19" t="s">
        <v>5077</v>
      </c>
    </row>
    <row r="2474" spans="1:1" x14ac:dyDescent="0.25">
      <c r="A2474" s="19" t="s">
        <v>5078</v>
      </c>
    </row>
    <row r="2475" spans="1:1" x14ac:dyDescent="0.25">
      <c r="A2475" s="19" t="s">
        <v>5079</v>
      </c>
    </row>
    <row r="2476" spans="1:1" x14ac:dyDescent="0.25">
      <c r="A2476" s="19" t="s">
        <v>5080</v>
      </c>
    </row>
    <row r="2477" spans="1:1" x14ac:dyDescent="0.25">
      <c r="A2477" s="19" t="s">
        <v>5081</v>
      </c>
    </row>
    <row r="2478" spans="1:1" x14ac:dyDescent="0.25">
      <c r="A2478" s="19" t="s">
        <v>5082</v>
      </c>
    </row>
    <row r="2479" spans="1:1" x14ac:dyDescent="0.25">
      <c r="A2479" s="19" t="s">
        <v>5083</v>
      </c>
    </row>
    <row r="2480" spans="1:1" x14ac:dyDescent="0.25">
      <c r="A2480" s="19" t="s">
        <v>5084</v>
      </c>
    </row>
    <row r="2481" spans="1:1" x14ac:dyDescent="0.25">
      <c r="A2481" s="19" t="s">
        <v>5085</v>
      </c>
    </row>
    <row r="2482" spans="1:1" x14ac:dyDescent="0.25">
      <c r="A2482" s="19" t="s">
        <v>5086</v>
      </c>
    </row>
    <row r="2483" spans="1:1" x14ac:dyDescent="0.25">
      <c r="A2483" s="19" t="s">
        <v>5087</v>
      </c>
    </row>
    <row r="2484" spans="1:1" x14ac:dyDescent="0.25">
      <c r="A2484" s="19" t="s">
        <v>5088</v>
      </c>
    </row>
    <row r="2485" spans="1:1" x14ac:dyDescent="0.25">
      <c r="A2485" s="19" t="s">
        <v>5089</v>
      </c>
    </row>
    <row r="2486" spans="1:1" x14ac:dyDescent="0.25">
      <c r="A2486" s="19" t="s">
        <v>5090</v>
      </c>
    </row>
    <row r="2487" spans="1:1" x14ac:dyDescent="0.25">
      <c r="A2487" s="19" t="s">
        <v>5091</v>
      </c>
    </row>
    <row r="2488" spans="1:1" x14ac:dyDescent="0.25">
      <c r="A2488" s="19" t="s">
        <v>5092</v>
      </c>
    </row>
    <row r="2489" spans="1:1" x14ac:dyDescent="0.25">
      <c r="A2489" s="19" t="s">
        <v>5093</v>
      </c>
    </row>
    <row r="2490" spans="1:1" x14ac:dyDescent="0.25">
      <c r="A2490" s="19" t="s">
        <v>5094</v>
      </c>
    </row>
    <row r="2491" spans="1:1" x14ac:dyDescent="0.25">
      <c r="A2491" s="19" t="s">
        <v>5095</v>
      </c>
    </row>
    <row r="2492" spans="1:1" x14ac:dyDescent="0.25">
      <c r="A2492" s="19" t="s">
        <v>5096</v>
      </c>
    </row>
    <row r="2493" spans="1:1" x14ac:dyDescent="0.25">
      <c r="A2493" s="19" t="s">
        <v>5097</v>
      </c>
    </row>
    <row r="2494" spans="1:1" x14ac:dyDescent="0.25">
      <c r="A2494" s="19" t="s">
        <v>5098</v>
      </c>
    </row>
    <row r="2495" spans="1:1" x14ac:dyDescent="0.25">
      <c r="A2495" s="19" t="s">
        <v>5099</v>
      </c>
    </row>
    <row r="2496" spans="1:1" x14ac:dyDescent="0.25">
      <c r="A2496" s="19" t="s">
        <v>5100</v>
      </c>
    </row>
    <row r="2497" spans="1:1" x14ac:dyDescent="0.25">
      <c r="A2497" s="19" t="s">
        <v>5101</v>
      </c>
    </row>
    <row r="2498" spans="1:1" x14ac:dyDescent="0.25">
      <c r="A2498" s="19" t="s">
        <v>5102</v>
      </c>
    </row>
    <row r="2499" spans="1:1" x14ac:dyDescent="0.25">
      <c r="A2499" s="19" t="s">
        <v>5103</v>
      </c>
    </row>
    <row r="2500" spans="1:1" x14ac:dyDescent="0.25">
      <c r="A2500" s="19" t="s">
        <v>5104</v>
      </c>
    </row>
    <row r="2501" spans="1:1" x14ac:dyDescent="0.25">
      <c r="A2501" s="19" t="s">
        <v>5105</v>
      </c>
    </row>
    <row r="2502" spans="1:1" x14ac:dyDescent="0.25">
      <c r="A2502" s="19" t="s">
        <v>5106</v>
      </c>
    </row>
    <row r="2503" spans="1:1" x14ac:dyDescent="0.25">
      <c r="A2503" s="19" t="s">
        <v>5107</v>
      </c>
    </row>
    <row r="2504" spans="1:1" x14ac:dyDescent="0.25">
      <c r="A2504" s="19" t="s">
        <v>5108</v>
      </c>
    </row>
    <row r="2505" spans="1:1" x14ac:dyDescent="0.25">
      <c r="A2505" s="19" t="s">
        <v>5109</v>
      </c>
    </row>
    <row r="2506" spans="1:1" x14ac:dyDescent="0.25">
      <c r="A2506" s="19" t="s">
        <v>5110</v>
      </c>
    </row>
    <row r="2507" spans="1:1" x14ac:dyDescent="0.25">
      <c r="A2507" s="19" t="s">
        <v>5111</v>
      </c>
    </row>
    <row r="2508" spans="1:1" x14ac:dyDescent="0.25">
      <c r="A2508" s="19" t="s">
        <v>5112</v>
      </c>
    </row>
    <row r="2509" spans="1:1" x14ac:dyDescent="0.25">
      <c r="A2509" s="19" t="s">
        <v>5113</v>
      </c>
    </row>
    <row r="2510" spans="1:1" x14ac:dyDescent="0.25">
      <c r="A2510" s="19" t="s">
        <v>5114</v>
      </c>
    </row>
    <row r="2511" spans="1:1" x14ac:dyDescent="0.25">
      <c r="A2511" s="19" t="s">
        <v>5115</v>
      </c>
    </row>
    <row r="2512" spans="1:1" x14ac:dyDescent="0.25">
      <c r="A2512" s="19" t="s">
        <v>5116</v>
      </c>
    </row>
    <row r="2513" spans="1:1" x14ac:dyDescent="0.25">
      <c r="A2513" s="19" t="s">
        <v>5117</v>
      </c>
    </row>
    <row r="2514" spans="1:1" x14ac:dyDescent="0.25">
      <c r="A2514" s="19" t="s">
        <v>5118</v>
      </c>
    </row>
    <row r="2515" spans="1:1" x14ac:dyDescent="0.25">
      <c r="A2515" s="19" t="s">
        <v>5119</v>
      </c>
    </row>
    <row r="2516" spans="1:1" x14ac:dyDescent="0.25">
      <c r="A2516" s="19" t="s">
        <v>5119</v>
      </c>
    </row>
    <row r="2517" spans="1:1" x14ac:dyDescent="0.25">
      <c r="A2517" s="19" t="s">
        <v>5120</v>
      </c>
    </row>
    <row r="2518" spans="1:1" x14ac:dyDescent="0.25">
      <c r="A2518" s="19" t="s">
        <v>5121</v>
      </c>
    </row>
    <row r="2519" spans="1:1" x14ac:dyDescent="0.25">
      <c r="A2519" s="19" t="s">
        <v>5122</v>
      </c>
    </row>
    <row r="2520" spans="1:1" x14ac:dyDescent="0.25">
      <c r="A2520" s="19" t="s">
        <v>5123</v>
      </c>
    </row>
    <row r="2521" spans="1:1" x14ac:dyDescent="0.25">
      <c r="A2521" s="19" t="s">
        <v>5124</v>
      </c>
    </row>
    <row r="2522" spans="1:1" x14ac:dyDescent="0.25">
      <c r="A2522" s="19" t="s">
        <v>5125</v>
      </c>
    </row>
    <row r="2523" spans="1:1" x14ac:dyDescent="0.25">
      <c r="A2523" s="19" t="s">
        <v>5126</v>
      </c>
    </row>
    <row r="2524" spans="1:1" x14ac:dyDescent="0.25">
      <c r="A2524" s="19" t="s">
        <v>5127</v>
      </c>
    </row>
    <row r="2525" spans="1:1" x14ac:dyDescent="0.25">
      <c r="A2525" s="19" t="s">
        <v>5128</v>
      </c>
    </row>
    <row r="2526" spans="1:1" x14ac:dyDescent="0.25">
      <c r="A2526" s="19" t="s">
        <v>5129</v>
      </c>
    </row>
    <row r="2527" spans="1:1" x14ac:dyDescent="0.25">
      <c r="A2527" s="19" t="s">
        <v>5130</v>
      </c>
    </row>
    <row r="2528" spans="1:1" x14ac:dyDescent="0.25">
      <c r="A2528" s="19" t="s">
        <v>5131</v>
      </c>
    </row>
    <row r="2529" spans="1:1" x14ac:dyDescent="0.25">
      <c r="A2529" s="19" t="s">
        <v>5132</v>
      </c>
    </row>
    <row r="2530" spans="1:1" x14ac:dyDescent="0.25">
      <c r="A2530" s="19" t="s">
        <v>5133</v>
      </c>
    </row>
    <row r="2531" spans="1:1" x14ac:dyDescent="0.25">
      <c r="A2531" s="19" t="s">
        <v>5133</v>
      </c>
    </row>
    <row r="2532" spans="1:1" x14ac:dyDescent="0.25">
      <c r="A2532" s="19" t="s">
        <v>5134</v>
      </c>
    </row>
    <row r="2533" spans="1:1" x14ac:dyDescent="0.25">
      <c r="A2533" s="19" t="s">
        <v>5135</v>
      </c>
    </row>
    <row r="2534" spans="1:1" x14ac:dyDescent="0.25">
      <c r="A2534" s="19" t="s">
        <v>5136</v>
      </c>
    </row>
    <row r="2535" spans="1:1" x14ac:dyDescent="0.25">
      <c r="A2535" s="19" t="s">
        <v>5137</v>
      </c>
    </row>
    <row r="2536" spans="1:1" x14ac:dyDescent="0.25">
      <c r="A2536" s="19" t="s">
        <v>5138</v>
      </c>
    </row>
    <row r="2537" spans="1:1" x14ac:dyDescent="0.25">
      <c r="A2537" s="19" t="s">
        <v>5139</v>
      </c>
    </row>
    <row r="2538" spans="1:1" x14ac:dyDescent="0.25">
      <c r="A2538" s="19" t="s">
        <v>5140</v>
      </c>
    </row>
    <row r="2539" spans="1:1" x14ac:dyDescent="0.25">
      <c r="A2539" s="19" t="s">
        <v>5141</v>
      </c>
    </row>
    <row r="2540" spans="1:1" x14ac:dyDescent="0.25">
      <c r="A2540" s="19" t="s">
        <v>5142</v>
      </c>
    </row>
    <row r="2541" spans="1:1" x14ac:dyDescent="0.25">
      <c r="A2541" s="19" t="s">
        <v>5142</v>
      </c>
    </row>
    <row r="2542" spans="1:1" x14ac:dyDescent="0.25">
      <c r="A2542" s="19" t="s">
        <v>5143</v>
      </c>
    </row>
    <row r="2543" spans="1:1" x14ac:dyDescent="0.25">
      <c r="A2543" s="19" t="s">
        <v>5144</v>
      </c>
    </row>
    <row r="2544" spans="1:1" x14ac:dyDescent="0.25">
      <c r="A2544" s="19" t="s">
        <v>5145</v>
      </c>
    </row>
    <row r="2545" spans="1:1" x14ac:dyDescent="0.25">
      <c r="A2545" s="19" t="s">
        <v>5146</v>
      </c>
    </row>
    <row r="2546" spans="1:1" x14ac:dyDescent="0.25">
      <c r="A2546" s="19" t="s">
        <v>5147</v>
      </c>
    </row>
    <row r="2547" spans="1:1" x14ac:dyDescent="0.25">
      <c r="A2547" s="19" t="s">
        <v>5148</v>
      </c>
    </row>
    <row r="2548" spans="1:1" x14ac:dyDescent="0.25">
      <c r="A2548" s="19" t="s">
        <v>5149</v>
      </c>
    </row>
    <row r="2549" spans="1:1" x14ac:dyDescent="0.25">
      <c r="A2549" s="19" t="s">
        <v>5150</v>
      </c>
    </row>
    <row r="2550" spans="1:1" x14ac:dyDescent="0.25">
      <c r="A2550" s="19" t="s">
        <v>5151</v>
      </c>
    </row>
    <row r="2551" spans="1:1" x14ac:dyDescent="0.25">
      <c r="A2551" s="19" t="s">
        <v>5152</v>
      </c>
    </row>
    <row r="2552" spans="1:1" x14ac:dyDescent="0.25">
      <c r="A2552" s="19" t="s">
        <v>5153</v>
      </c>
    </row>
    <row r="2553" spans="1:1" x14ac:dyDescent="0.25">
      <c r="A2553" s="19" t="s">
        <v>5154</v>
      </c>
    </row>
    <row r="2554" spans="1:1" x14ac:dyDescent="0.25">
      <c r="A2554" s="19" t="s">
        <v>5155</v>
      </c>
    </row>
    <row r="2555" spans="1:1" x14ac:dyDescent="0.25">
      <c r="A2555" s="19" t="s">
        <v>5156</v>
      </c>
    </row>
    <row r="2556" spans="1:1" x14ac:dyDescent="0.25">
      <c r="A2556" s="19" t="s">
        <v>5157</v>
      </c>
    </row>
    <row r="2557" spans="1:1" x14ac:dyDescent="0.25">
      <c r="A2557" s="19" t="s">
        <v>5158</v>
      </c>
    </row>
    <row r="2558" spans="1:1" x14ac:dyDescent="0.25">
      <c r="A2558" s="19" t="s">
        <v>5159</v>
      </c>
    </row>
    <row r="2559" spans="1:1" x14ac:dyDescent="0.25">
      <c r="A2559" s="19" t="s">
        <v>5160</v>
      </c>
    </row>
    <row r="2560" spans="1:1" x14ac:dyDescent="0.25">
      <c r="A2560" s="19" t="s">
        <v>5161</v>
      </c>
    </row>
    <row r="2561" spans="1:1" x14ac:dyDescent="0.25">
      <c r="A2561" s="19" t="s">
        <v>5162</v>
      </c>
    </row>
    <row r="2562" spans="1:1" x14ac:dyDescent="0.25">
      <c r="A2562" s="19" t="s">
        <v>5163</v>
      </c>
    </row>
    <row r="2563" spans="1:1" x14ac:dyDescent="0.25">
      <c r="A2563" s="19" t="s">
        <v>5164</v>
      </c>
    </row>
    <row r="2564" spans="1:1" x14ac:dyDescent="0.25">
      <c r="A2564" s="19" t="s">
        <v>5164</v>
      </c>
    </row>
    <row r="2565" spans="1:1" x14ac:dyDescent="0.25">
      <c r="A2565" s="19" t="s">
        <v>5164</v>
      </c>
    </row>
    <row r="2566" spans="1:1" x14ac:dyDescent="0.25">
      <c r="A2566" s="19" t="s">
        <v>5165</v>
      </c>
    </row>
    <row r="2567" spans="1:1" x14ac:dyDescent="0.25">
      <c r="A2567" s="19" t="s">
        <v>5166</v>
      </c>
    </row>
    <row r="2568" spans="1:1" x14ac:dyDescent="0.25">
      <c r="A2568" s="19" t="s">
        <v>5167</v>
      </c>
    </row>
    <row r="2569" spans="1:1" x14ac:dyDescent="0.25">
      <c r="A2569" s="19" t="s">
        <v>5168</v>
      </c>
    </row>
    <row r="2570" spans="1:1" x14ac:dyDescent="0.25">
      <c r="A2570" s="19" t="s">
        <v>5169</v>
      </c>
    </row>
    <row r="2571" spans="1:1" x14ac:dyDescent="0.25">
      <c r="A2571" s="19" t="s">
        <v>5170</v>
      </c>
    </row>
    <row r="2572" spans="1:1" x14ac:dyDescent="0.25">
      <c r="A2572" s="19" t="s">
        <v>5171</v>
      </c>
    </row>
    <row r="2573" spans="1:1" x14ac:dyDescent="0.25">
      <c r="A2573" s="19" t="s">
        <v>5172</v>
      </c>
    </row>
    <row r="2574" spans="1:1" x14ac:dyDescent="0.25">
      <c r="A2574" s="19" t="s">
        <v>5173</v>
      </c>
    </row>
    <row r="2575" spans="1:1" x14ac:dyDescent="0.25">
      <c r="A2575" s="19" t="s">
        <v>5174</v>
      </c>
    </row>
    <row r="2576" spans="1:1" x14ac:dyDescent="0.25">
      <c r="A2576" s="19" t="s">
        <v>5175</v>
      </c>
    </row>
    <row r="2577" spans="1:1" x14ac:dyDescent="0.25">
      <c r="A2577" s="19" t="s">
        <v>5176</v>
      </c>
    </row>
    <row r="2578" spans="1:1" x14ac:dyDescent="0.25">
      <c r="A2578" s="19" t="s">
        <v>5177</v>
      </c>
    </row>
    <row r="2579" spans="1:1" x14ac:dyDescent="0.25">
      <c r="A2579" s="19" t="s">
        <v>5178</v>
      </c>
    </row>
    <row r="2580" spans="1:1" x14ac:dyDescent="0.25">
      <c r="A2580" s="19" t="s">
        <v>5179</v>
      </c>
    </row>
    <row r="2581" spans="1:1" x14ac:dyDescent="0.25">
      <c r="A2581" s="19" t="s">
        <v>5180</v>
      </c>
    </row>
    <row r="2582" spans="1:1" x14ac:dyDescent="0.25">
      <c r="A2582" s="19" t="s">
        <v>5181</v>
      </c>
    </row>
    <row r="2583" spans="1:1" x14ac:dyDescent="0.25">
      <c r="A2583" s="19" t="s">
        <v>5182</v>
      </c>
    </row>
    <row r="2584" spans="1:1" x14ac:dyDescent="0.25">
      <c r="A2584" s="19" t="s">
        <v>5183</v>
      </c>
    </row>
    <row r="2585" spans="1:1" x14ac:dyDescent="0.25">
      <c r="A2585" s="19" t="s">
        <v>5184</v>
      </c>
    </row>
    <row r="2586" spans="1:1" x14ac:dyDescent="0.25">
      <c r="A2586" s="19" t="s">
        <v>5185</v>
      </c>
    </row>
    <row r="2587" spans="1:1" x14ac:dyDescent="0.25">
      <c r="A2587" s="19" t="s">
        <v>5186</v>
      </c>
    </row>
    <row r="2588" spans="1:1" x14ac:dyDescent="0.25">
      <c r="A2588" s="19" t="s">
        <v>5187</v>
      </c>
    </row>
    <row r="2589" spans="1:1" x14ac:dyDescent="0.25">
      <c r="A2589" s="19" t="s">
        <v>5188</v>
      </c>
    </row>
    <row r="2590" spans="1:1" x14ac:dyDescent="0.25">
      <c r="A2590" s="19" t="s">
        <v>5189</v>
      </c>
    </row>
    <row r="2591" spans="1:1" x14ac:dyDescent="0.25">
      <c r="A2591" s="19" t="s">
        <v>5190</v>
      </c>
    </row>
    <row r="2592" spans="1:1" x14ac:dyDescent="0.25">
      <c r="A2592" s="19" t="s">
        <v>5191</v>
      </c>
    </row>
    <row r="2593" spans="1:1" x14ac:dyDescent="0.25">
      <c r="A2593" s="19" t="s">
        <v>5192</v>
      </c>
    </row>
    <row r="2594" spans="1:1" x14ac:dyDescent="0.25">
      <c r="A2594" s="19" t="s">
        <v>5193</v>
      </c>
    </row>
    <row r="2595" spans="1:1" x14ac:dyDescent="0.25">
      <c r="A2595" s="19" t="s">
        <v>5194</v>
      </c>
    </row>
    <row r="2596" spans="1:1" x14ac:dyDescent="0.25">
      <c r="A2596" s="19" t="s">
        <v>5195</v>
      </c>
    </row>
    <row r="2597" spans="1:1" x14ac:dyDescent="0.25">
      <c r="A2597" s="19" t="s">
        <v>5195</v>
      </c>
    </row>
    <row r="2598" spans="1:1" x14ac:dyDescent="0.25">
      <c r="A2598" s="19" t="s">
        <v>5196</v>
      </c>
    </row>
    <row r="2599" spans="1:1" x14ac:dyDescent="0.25">
      <c r="A2599" s="19" t="s">
        <v>5197</v>
      </c>
    </row>
    <row r="2600" spans="1:1" x14ac:dyDescent="0.25">
      <c r="A2600" s="19" t="s">
        <v>5198</v>
      </c>
    </row>
    <row r="2601" spans="1:1" x14ac:dyDescent="0.25">
      <c r="A2601" s="19" t="s">
        <v>5199</v>
      </c>
    </row>
    <row r="2602" spans="1:1" x14ac:dyDescent="0.25">
      <c r="A2602" s="19" t="s">
        <v>5200</v>
      </c>
    </row>
    <row r="2603" spans="1:1" x14ac:dyDescent="0.25">
      <c r="A2603" s="19" t="s">
        <v>5201</v>
      </c>
    </row>
    <row r="2604" spans="1:1" x14ac:dyDescent="0.25">
      <c r="A2604" s="19" t="s">
        <v>5202</v>
      </c>
    </row>
    <row r="2605" spans="1:1" x14ac:dyDescent="0.25">
      <c r="A2605" s="19" t="s">
        <v>5203</v>
      </c>
    </row>
    <row r="2606" spans="1:1" x14ac:dyDescent="0.25">
      <c r="A2606" s="19" t="s">
        <v>5204</v>
      </c>
    </row>
    <row r="2607" spans="1:1" x14ac:dyDescent="0.25">
      <c r="A2607" s="19" t="s">
        <v>5205</v>
      </c>
    </row>
    <row r="2608" spans="1:1" x14ac:dyDescent="0.25">
      <c r="A2608" s="19" t="s">
        <v>5206</v>
      </c>
    </row>
    <row r="2609" spans="1:1" x14ac:dyDescent="0.25">
      <c r="A2609" s="19" t="s">
        <v>5207</v>
      </c>
    </row>
    <row r="2610" spans="1:1" x14ac:dyDescent="0.25">
      <c r="A2610" s="19" t="s">
        <v>5208</v>
      </c>
    </row>
    <row r="2611" spans="1:1" x14ac:dyDescent="0.25">
      <c r="A2611" s="19" t="s">
        <v>5209</v>
      </c>
    </row>
    <row r="2612" spans="1:1" x14ac:dyDescent="0.25">
      <c r="A2612" s="19" t="s">
        <v>5210</v>
      </c>
    </row>
    <row r="2613" spans="1:1" x14ac:dyDescent="0.25">
      <c r="A2613" s="19" t="s">
        <v>5211</v>
      </c>
    </row>
    <row r="2614" spans="1:1" x14ac:dyDescent="0.25">
      <c r="A2614" s="19" t="s">
        <v>5212</v>
      </c>
    </row>
    <row r="2615" spans="1:1" x14ac:dyDescent="0.25">
      <c r="A2615" s="19" t="s">
        <v>5213</v>
      </c>
    </row>
    <row r="2616" spans="1:1" x14ac:dyDescent="0.25">
      <c r="A2616" s="19" t="s">
        <v>5214</v>
      </c>
    </row>
    <row r="2617" spans="1:1" x14ac:dyDescent="0.25">
      <c r="A2617" s="19" t="s">
        <v>5215</v>
      </c>
    </row>
    <row r="2618" spans="1:1" x14ac:dyDescent="0.25">
      <c r="A2618" s="19" t="s">
        <v>5216</v>
      </c>
    </row>
    <row r="2619" spans="1:1" x14ac:dyDescent="0.25">
      <c r="A2619" s="19" t="s">
        <v>5217</v>
      </c>
    </row>
    <row r="2620" spans="1:1" x14ac:dyDescent="0.25">
      <c r="A2620" s="19" t="s">
        <v>5218</v>
      </c>
    </row>
    <row r="2621" spans="1:1" x14ac:dyDescent="0.25">
      <c r="A2621" s="19" t="s">
        <v>5219</v>
      </c>
    </row>
    <row r="2622" spans="1:1" x14ac:dyDescent="0.25">
      <c r="A2622" s="19" t="s">
        <v>5220</v>
      </c>
    </row>
    <row r="2623" spans="1:1" x14ac:dyDescent="0.25">
      <c r="A2623" s="19" t="s">
        <v>5221</v>
      </c>
    </row>
    <row r="2624" spans="1:1" x14ac:dyDescent="0.25">
      <c r="A2624" s="19" t="s">
        <v>5222</v>
      </c>
    </row>
    <row r="2625" spans="1:1" x14ac:dyDescent="0.25">
      <c r="A2625" s="19" t="s">
        <v>5223</v>
      </c>
    </row>
    <row r="2626" spans="1:1" x14ac:dyDescent="0.25">
      <c r="A2626" s="19" t="s">
        <v>5224</v>
      </c>
    </row>
    <row r="2627" spans="1:1" x14ac:dyDescent="0.25">
      <c r="A2627" s="19" t="s">
        <v>5225</v>
      </c>
    </row>
    <row r="2628" spans="1:1" x14ac:dyDescent="0.25">
      <c r="A2628" s="19" t="s">
        <v>5226</v>
      </c>
    </row>
    <row r="2629" spans="1:1" x14ac:dyDescent="0.25">
      <c r="A2629" s="19" t="s">
        <v>5227</v>
      </c>
    </row>
    <row r="2630" spans="1:1" x14ac:dyDescent="0.25">
      <c r="A2630" s="19" t="s">
        <v>5228</v>
      </c>
    </row>
    <row r="2631" spans="1:1" x14ac:dyDescent="0.25">
      <c r="A2631" s="19" t="s">
        <v>5229</v>
      </c>
    </row>
    <row r="2632" spans="1:1" x14ac:dyDescent="0.25">
      <c r="A2632" s="19" t="s">
        <v>5230</v>
      </c>
    </row>
    <row r="2633" spans="1:1" x14ac:dyDescent="0.25">
      <c r="A2633" s="19" t="s">
        <v>5231</v>
      </c>
    </row>
    <row r="2634" spans="1:1" x14ac:dyDescent="0.25">
      <c r="A2634" s="19" t="s">
        <v>5232</v>
      </c>
    </row>
    <row r="2635" spans="1:1" x14ac:dyDescent="0.25">
      <c r="A2635" s="19" t="s">
        <v>5233</v>
      </c>
    </row>
    <row r="2636" spans="1:1" x14ac:dyDescent="0.25">
      <c r="A2636" s="19" t="s">
        <v>5234</v>
      </c>
    </row>
    <row r="2637" spans="1:1" x14ac:dyDescent="0.25">
      <c r="A2637" s="19" t="s">
        <v>5235</v>
      </c>
    </row>
    <row r="2638" spans="1:1" x14ac:dyDescent="0.25">
      <c r="A2638" s="19" t="s">
        <v>5236</v>
      </c>
    </row>
    <row r="2639" spans="1:1" x14ac:dyDescent="0.25">
      <c r="A2639" s="19" t="s">
        <v>5237</v>
      </c>
    </row>
    <row r="2640" spans="1:1" x14ac:dyDescent="0.25">
      <c r="A2640" s="19" t="s">
        <v>5238</v>
      </c>
    </row>
    <row r="2641" spans="1:1" x14ac:dyDescent="0.25">
      <c r="A2641" s="19" t="s">
        <v>5239</v>
      </c>
    </row>
    <row r="2642" spans="1:1" x14ac:dyDescent="0.25">
      <c r="A2642" s="19" t="s">
        <v>5240</v>
      </c>
    </row>
    <row r="2643" spans="1:1" x14ac:dyDescent="0.25">
      <c r="A2643" s="19" t="s">
        <v>5241</v>
      </c>
    </row>
    <row r="2644" spans="1:1" x14ac:dyDescent="0.25">
      <c r="A2644" s="19" t="s">
        <v>5242</v>
      </c>
    </row>
    <row r="2645" spans="1:1" x14ac:dyDescent="0.25">
      <c r="A2645" s="19" t="s">
        <v>5243</v>
      </c>
    </row>
    <row r="2646" spans="1:1" x14ac:dyDescent="0.25">
      <c r="A2646" s="19" t="s">
        <v>5244</v>
      </c>
    </row>
    <row r="2647" spans="1:1" x14ac:dyDescent="0.25">
      <c r="A2647" s="19" t="s">
        <v>5245</v>
      </c>
    </row>
    <row r="2648" spans="1:1" x14ac:dyDescent="0.25">
      <c r="A2648" s="19" t="s">
        <v>5246</v>
      </c>
    </row>
    <row r="2649" spans="1:1" x14ac:dyDescent="0.25">
      <c r="A2649" s="19" t="s">
        <v>5247</v>
      </c>
    </row>
    <row r="2650" spans="1:1" x14ac:dyDescent="0.25">
      <c r="A2650" s="19" t="s">
        <v>5248</v>
      </c>
    </row>
    <row r="2651" spans="1:1" x14ac:dyDescent="0.25">
      <c r="A2651" s="19" t="s">
        <v>5249</v>
      </c>
    </row>
    <row r="2652" spans="1:1" x14ac:dyDescent="0.25">
      <c r="A2652" s="19" t="s">
        <v>5250</v>
      </c>
    </row>
    <row r="2653" spans="1:1" x14ac:dyDescent="0.25">
      <c r="A2653" s="19" t="s">
        <v>5251</v>
      </c>
    </row>
    <row r="2654" spans="1:1" x14ac:dyDescent="0.25">
      <c r="A2654" s="19" t="s">
        <v>5252</v>
      </c>
    </row>
    <row r="2655" spans="1:1" x14ac:dyDescent="0.25">
      <c r="A2655" s="19" t="s">
        <v>5253</v>
      </c>
    </row>
    <row r="2656" spans="1:1" x14ac:dyDescent="0.25">
      <c r="A2656" s="19" t="s">
        <v>5254</v>
      </c>
    </row>
    <row r="2657" spans="1:1" x14ac:dyDescent="0.25">
      <c r="A2657" s="19" t="s">
        <v>5255</v>
      </c>
    </row>
    <row r="2658" spans="1:1" x14ac:dyDescent="0.25">
      <c r="A2658" s="19" t="s">
        <v>5256</v>
      </c>
    </row>
    <row r="2659" spans="1:1" x14ac:dyDescent="0.25">
      <c r="A2659" s="19" t="s">
        <v>5257</v>
      </c>
    </row>
    <row r="2660" spans="1:1" x14ac:dyDescent="0.25">
      <c r="A2660" s="19" t="s">
        <v>5258</v>
      </c>
    </row>
    <row r="2661" spans="1:1" x14ac:dyDescent="0.25">
      <c r="A2661" s="19" t="s">
        <v>5259</v>
      </c>
    </row>
    <row r="2662" spans="1:1" x14ac:dyDescent="0.25">
      <c r="A2662" s="19" t="s">
        <v>5260</v>
      </c>
    </row>
    <row r="2663" spans="1:1" x14ac:dyDescent="0.25">
      <c r="A2663" s="19" t="s">
        <v>5261</v>
      </c>
    </row>
    <row r="2664" spans="1:1" x14ac:dyDescent="0.25">
      <c r="A2664" s="19" t="s">
        <v>5262</v>
      </c>
    </row>
    <row r="2665" spans="1:1" x14ac:dyDescent="0.25">
      <c r="A2665" s="19" t="s">
        <v>5263</v>
      </c>
    </row>
    <row r="2666" spans="1:1" x14ac:dyDescent="0.25">
      <c r="A2666" s="19" t="s">
        <v>5264</v>
      </c>
    </row>
    <row r="2667" spans="1:1" x14ac:dyDescent="0.25">
      <c r="A2667" s="19" t="s">
        <v>5265</v>
      </c>
    </row>
    <row r="2668" spans="1:1" x14ac:dyDescent="0.25">
      <c r="A2668" s="19" t="s">
        <v>5266</v>
      </c>
    </row>
    <row r="2669" spans="1:1" x14ac:dyDescent="0.25">
      <c r="A2669" s="19" t="s">
        <v>5267</v>
      </c>
    </row>
    <row r="2670" spans="1:1" x14ac:dyDescent="0.25">
      <c r="A2670" s="19" t="s">
        <v>5268</v>
      </c>
    </row>
    <row r="2671" spans="1:1" x14ac:dyDescent="0.25">
      <c r="A2671" s="19" t="s">
        <v>5269</v>
      </c>
    </row>
    <row r="2672" spans="1:1" x14ac:dyDescent="0.25">
      <c r="A2672" s="19" t="s">
        <v>5270</v>
      </c>
    </row>
    <row r="2673" spans="1:1" x14ac:dyDescent="0.25">
      <c r="A2673" s="19" t="s">
        <v>5271</v>
      </c>
    </row>
    <row r="2674" spans="1:1" x14ac:dyDescent="0.25">
      <c r="A2674" s="19" t="s">
        <v>5272</v>
      </c>
    </row>
    <row r="2675" spans="1:1" x14ac:dyDescent="0.25">
      <c r="A2675" s="19" t="s">
        <v>5273</v>
      </c>
    </row>
    <row r="2676" spans="1:1" x14ac:dyDescent="0.25">
      <c r="A2676" s="19" t="s">
        <v>5274</v>
      </c>
    </row>
    <row r="2677" spans="1:1" x14ac:dyDescent="0.25">
      <c r="A2677" s="19" t="s">
        <v>5275</v>
      </c>
    </row>
    <row r="2678" spans="1:1" x14ac:dyDescent="0.25">
      <c r="A2678" s="19" t="s">
        <v>5276</v>
      </c>
    </row>
    <row r="2679" spans="1:1" x14ac:dyDescent="0.25">
      <c r="A2679" s="19" t="s">
        <v>5277</v>
      </c>
    </row>
    <row r="2680" spans="1:1" x14ac:dyDescent="0.25">
      <c r="A2680" s="19" t="s">
        <v>5278</v>
      </c>
    </row>
    <row r="2681" spans="1:1" x14ac:dyDescent="0.25">
      <c r="A2681" s="19" t="s">
        <v>5279</v>
      </c>
    </row>
    <row r="2682" spans="1:1" x14ac:dyDescent="0.25">
      <c r="A2682" s="19" t="s">
        <v>5280</v>
      </c>
    </row>
    <row r="2683" spans="1:1" x14ac:dyDescent="0.25">
      <c r="A2683" s="19" t="s">
        <v>5281</v>
      </c>
    </row>
    <row r="2684" spans="1:1" x14ac:dyDescent="0.25">
      <c r="A2684" s="19" t="s">
        <v>5282</v>
      </c>
    </row>
    <row r="2685" spans="1:1" x14ac:dyDescent="0.25">
      <c r="A2685" s="19" t="s">
        <v>5283</v>
      </c>
    </row>
    <row r="2686" spans="1:1" x14ac:dyDescent="0.25">
      <c r="A2686" s="19" t="s">
        <v>5284</v>
      </c>
    </row>
    <row r="2687" spans="1:1" x14ac:dyDescent="0.25">
      <c r="A2687" s="19" t="s">
        <v>5285</v>
      </c>
    </row>
    <row r="2688" spans="1:1" x14ac:dyDescent="0.25">
      <c r="A2688" s="19" t="s">
        <v>5286</v>
      </c>
    </row>
    <row r="2689" spans="1:1" x14ac:dyDescent="0.25">
      <c r="A2689" s="19" t="s">
        <v>5287</v>
      </c>
    </row>
    <row r="2690" spans="1:1" x14ac:dyDescent="0.25">
      <c r="A2690" s="19" t="s">
        <v>5288</v>
      </c>
    </row>
    <row r="2691" spans="1:1" x14ac:dyDescent="0.25">
      <c r="A2691" s="19" t="s">
        <v>5289</v>
      </c>
    </row>
    <row r="2692" spans="1:1" x14ac:dyDescent="0.25">
      <c r="A2692" s="19" t="s">
        <v>5290</v>
      </c>
    </row>
    <row r="2693" spans="1:1" x14ac:dyDescent="0.25">
      <c r="A2693" s="19" t="s">
        <v>5291</v>
      </c>
    </row>
    <row r="2694" spans="1:1" x14ac:dyDescent="0.25">
      <c r="A2694" s="19" t="s">
        <v>5292</v>
      </c>
    </row>
    <row r="2695" spans="1:1" x14ac:dyDescent="0.25">
      <c r="A2695" s="19" t="s">
        <v>5293</v>
      </c>
    </row>
    <row r="2696" spans="1:1" x14ac:dyDescent="0.25">
      <c r="A2696" s="19" t="s">
        <v>5294</v>
      </c>
    </row>
    <row r="2697" spans="1:1" x14ac:dyDescent="0.25">
      <c r="A2697" s="19" t="s">
        <v>5295</v>
      </c>
    </row>
    <row r="2698" spans="1:1" x14ac:dyDescent="0.25">
      <c r="A2698" s="19" t="s">
        <v>5296</v>
      </c>
    </row>
    <row r="2699" spans="1:1" x14ac:dyDescent="0.25">
      <c r="A2699" s="19" t="s">
        <v>5297</v>
      </c>
    </row>
    <row r="2700" spans="1:1" x14ac:dyDescent="0.25">
      <c r="A2700" s="19" t="s">
        <v>5298</v>
      </c>
    </row>
    <row r="2701" spans="1:1" x14ac:dyDescent="0.25">
      <c r="A2701" s="19" t="s">
        <v>5299</v>
      </c>
    </row>
    <row r="2702" spans="1:1" x14ac:dyDescent="0.25">
      <c r="A2702" s="19" t="s">
        <v>5300</v>
      </c>
    </row>
    <row r="2703" spans="1:1" x14ac:dyDescent="0.25">
      <c r="A2703" s="19" t="s">
        <v>5301</v>
      </c>
    </row>
    <row r="2704" spans="1:1" x14ac:dyDescent="0.25">
      <c r="A2704" s="19" t="s">
        <v>5302</v>
      </c>
    </row>
    <row r="2705" spans="1:1" x14ac:dyDescent="0.25">
      <c r="A2705" s="19" t="s">
        <v>5303</v>
      </c>
    </row>
    <row r="2706" spans="1:1" x14ac:dyDescent="0.25">
      <c r="A2706" s="19" t="s">
        <v>5304</v>
      </c>
    </row>
    <row r="2707" spans="1:1" x14ac:dyDescent="0.25">
      <c r="A2707" s="19" t="s">
        <v>5305</v>
      </c>
    </row>
    <row r="2708" spans="1:1" x14ac:dyDescent="0.25">
      <c r="A2708" s="19" t="s">
        <v>5306</v>
      </c>
    </row>
    <row r="2709" spans="1:1" x14ac:dyDescent="0.25">
      <c r="A2709" s="19" t="s">
        <v>5307</v>
      </c>
    </row>
    <row r="2710" spans="1:1" x14ac:dyDescent="0.25">
      <c r="A2710" s="19" t="s">
        <v>5308</v>
      </c>
    </row>
    <row r="2711" spans="1:1" x14ac:dyDescent="0.25">
      <c r="A2711" s="19" t="s">
        <v>5309</v>
      </c>
    </row>
    <row r="2712" spans="1:1" x14ac:dyDescent="0.25">
      <c r="A2712" s="19" t="s">
        <v>5310</v>
      </c>
    </row>
    <row r="2713" spans="1:1" x14ac:dyDescent="0.25">
      <c r="A2713" s="19" t="s">
        <v>5311</v>
      </c>
    </row>
    <row r="2714" spans="1:1" x14ac:dyDescent="0.25">
      <c r="A2714" s="19" t="s">
        <v>5312</v>
      </c>
    </row>
    <row r="2715" spans="1:1" x14ac:dyDescent="0.25">
      <c r="A2715" s="19" t="s">
        <v>5313</v>
      </c>
    </row>
    <row r="2716" spans="1:1" x14ac:dyDescent="0.25">
      <c r="A2716" s="19" t="s">
        <v>5314</v>
      </c>
    </row>
    <row r="2717" spans="1:1" x14ac:dyDescent="0.25">
      <c r="A2717" s="19" t="s">
        <v>5314</v>
      </c>
    </row>
    <row r="2718" spans="1:1" x14ac:dyDescent="0.25">
      <c r="A2718" s="19" t="s">
        <v>5315</v>
      </c>
    </row>
    <row r="2719" spans="1:1" x14ac:dyDescent="0.25">
      <c r="A2719" s="19" t="s">
        <v>5316</v>
      </c>
    </row>
    <row r="2720" spans="1:1" x14ac:dyDescent="0.25">
      <c r="A2720" s="19" t="s">
        <v>5317</v>
      </c>
    </row>
    <row r="2721" spans="1:1" x14ac:dyDescent="0.25">
      <c r="A2721" s="19" t="s">
        <v>5318</v>
      </c>
    </row>
    <row r="2722" spans="1:1" x14ac:dyDescent="0.25">
      <c r="A2722" s="19" t="s">
        <v>5319</v>
      </c>
    </row>
    <row r="2723" spans="1:1" x14ac:dyDescent="0.25">
      <c r="A2723" s="19" t="s">
        <v>5320</v>
      </c>
    </row>
    <row r="2724" spans="1:1" x14ac:dyDescent="0.25">
      <c r="A2724" s="19" t="s">
        <v>5321</v>
      </c>
    </row>
    <row r="2725" spans="1:1" x14ac:dyDescent="0.25">
      <c r="A2725" s="19" t="s">
        <v>5322</v>
      </c>
    </row>
    <row r="2726" spans="1:1" x14ac:dyDescent="0.25">
      <c r="A2726" s="19" t="s">
        <v>5323</v>
      </c>
    </row>
    <row r="2727" spans="1:1" x14ac:dyDescent="0.25">
      <c r="A2727" s="19" t="s">
        <v>5324</v>
      </c>
    </row>
    <row r="2728" spans="1:1" x14ac:dyDescent="0.25">
      <c r="A2728" s="19" t="s">
        <v>5325</v>
      </c>
    </row>
    <row r="2729" spans="1:1" x14ac:dyDescent="0.25">
      <c r="A2729" s="19" t="s">
        <v>5326</v>
      </c>
    </row>
    <row r="2730" spans="1:1" x14ac:dyDescent="0.25">
      <c r="A2730" s="19" t="s">
        <v>5327</v>
      </c>
    </row>
    <row r="2731" spans="1:1" x14ac:dyDescent="0.25">
      <c r="A2731" s="19" t="s">
        <v>5328</v>
      </c>
    </row>
    <row r="2732" spans="1:1" x14ac:dyDescent="0.25">
      <c r="A2732" s="19" t="s">
        <v>5329</v>
      </c>
    </row>
    <row r="2733" spans="1:1" x14ac:dyDescent="0.25">
      <c r="A2733" s="19" t="s">
        <v>5330</v>
      </c>
    </row>
    <row r="2734" spans="1:1" x14ac:dyDescent="0.25">
      <c r="A2734" s="19" t="s">
        <v>5331</v>
      </c>
    </row>
    <row r="2735" spans="1:1" x14ac:dyDescent="0.25">
      <c r="A2735" s="19" t="s">
        <v>5332</v>
      </c>
    </row>
    <row r="2736" spans="1:1" x14ac:dyDescent="0.25">
      <c r="A2736" s="19" t="s">
        <v>5333</v>
      </c>
    </row>
    <row r="2737" spans="1:1" x14ac:dyDescent="0.25">
      <c r="A2737" s="19" t="s">
        <v>5334</v>
      </c>
    </row>
    <row r="2738" spans="1:1" x14ac:dyDescent="0.25">
      <c r="A2738" s="19" t="s">
        <v>5335</v>
      </c>
    </row>
    <row r="2739" spans="1:1" x14ac:dyDescent="0.25">
      <c r="A2739" s="19" t="s">
        <v>5336</v>
      </c>
    </row>
    <row r="2740" spans="1:1" x14ac:dyDescent="0.25">
      <c r="A2740" s="19" t="s">
        <v>5337</v>
      </c>
    </row>
    <row r="2741" spans="1:1" x14ac:dyDescent="0.25">
      <c r="A2741" s="19" t="s">
        <v>5338</v>
      </c>
    </row>
    <row r="2742" spans="1:1" x14ac:dyDescent="0.25">
      <c r="A2742" s="19" t="s">
        <v>5339</v>
      </c>
    </row>
    <row r="2743" spans="1:1" x14ac:dyDescent="0.25">
      <c r="A2743" s="19" t="s">
        <v>5340</v>
      </c>
    </row>
    <row r="2744" spans="1:1" x14ac:dyDescent="0.25">
      <c r="A2744" s="19" t="s">
        <v>5341</v>
      </c>
    </row>
    <row r="2745" spans="1:1" x14ac:dyDescent="0.25">
      <c r="A2745" s="19" t="s">
        <v>5342</v>
      </c>
    </row>
    <row r="2746" spans="1:1" x14ac:dyDescent="0.25">
      <c r="A2746" s="19" t="s">
        <v>5343</v>
      </c>
    </row>
    <row r="2747" spans="1:1" x14ac:dyDescent="0.25">
      <c r="A2747" s="19" t="s">
        <v>5344</v>
      </c>
    </row>
    <row r="2748" spans="1:1" x14ac:dyDescent="0.25">
      <c r="A2748" s="19" t="s">
        <v>5345</v>
      </c>
    </row>
    <row r="2749" spans="1:1" x14ac:dyDescent="0.25">
      <c r="A2749" s="19" t="s">
        <v>5346</v>
      </c>
    </row>
    <row r="2750" spans="1:1" x14ac:dyDescent="0.25">
      <c r="A2750" s="19" t="s">
        <v>5347</v>
      </c>
    </row>
    <row r="2751" spans="1:1" x14ac:dyDescent="0.25">
      <c r="A2751" s="19" t="s">
        <v>5348</v>
      </c>
    </row>
    <row r="2752" spans="1:1" x14ac:dyDescent="0.25">
      <c r="A2752" s="19" t="s">
        <v>5349</v>
      </c>
    </row>
    <row r="2753" spans="1:1" x14ac:dyDescent="0.25">
      <c r="A2753" s="19" t="s">
        <v>5350</v>
      </c>
    </row>
    <row r="2754" spans="1:1" x14ac:dyDescent="0.25">
      <c r="A2754" s="19" t="s">
        <v>5351</v>
      </c>
    </row>
    <row r="2755" spans="1:1" x14ac:dyDescent="0.25">
      <c r="A2755" s="19" t="s">
        <v>5352</v>
      </c>
    </row>
    <row r="2756" spans="1:1" x14ac:dyDescent="0.25">
      <c r="A2756" s="19" t="s">
        <v>5353</v>
      </c>
    </row>
    <row r="2757" spans="1:1" x14ac:dyDescent="0.25">
      <c r="A2757" s="19" t="s">
        <v>5354</v>
      </c>
    </row>
    <row r="2758" spans="1:1" x14ac:dyDescent="0.25">
      <c r="A2758" s="19" t="s">
        <v>5355</v>
      </c>
    </row>
    <row r="2759" spans="1:1" x14ac:dyDescent="0.25">
      <c r="A2759" s="19" t="s">
        <v>5356</v>
      </c>
    </row>
    <row r="2760" spans="1:1" x14ac:dyDescent="0.25">
      <c r="A2760" s="19" t="s">
        <v>5357</v>
      </c>
    </row>
    <row r="2761" spans="1:1" x14ac:dyDescent="0.25">
      <c r="A2761" s="19" t="s">
        <v>5358</v>
      </c>
    </row>
    <row r="2762" spans="1:1" x14ac:dyDescent="0.25">
      <c r="A2762" s="19" t="s">
        <v>5359</v>
      </c>
    </row>
    <row r="2763" spans="1:1" x14ac:dyDescent="0.25">
      <c r="A2763" s="19" t="s">
        <v>5360</v>
      </c>
    </row>
    <row r="2764" spans="1:1" x14ac:dyDescent="0.25">
      <c r="A2764" s="19" t="s">
        <v>5361</v>
      </c>
    </row>
    <row r="2765" spans="1:1" x14ac:dyDescent="0.25">
      <c r="A2765" s="19" t="s">
        <v>5362</v>
      </c>
    </row>
    <row r="2766" spans="1:1" x14ac:dyDescent="0.25">
      <c r="A2766" s="19" t="s">
        <v>5363</v>
      </c>
    </row>
    <row r="2767" spans="1:1" x14ac:dyDescent="0.25">
      <c r="A2767" s="19" t="s">
        <v>5364</v>
      </c>
    </row>
    <row r="2768" spans="1:1" x14ac:dyDescent="0.25">
      <c r="A2768" s="19" t="s">
        <v>5365</v>
      </c>
    </row>
    <row r="2769" spans="1:1" x14ac:dyDescent="0.25">
      <c r="A2769" s="19" t="s">
        <v>5366</v>
      </c>
    </row>
    <row r="2770" spans="1:1" x14ac:dyDescent="0.25">
      <c r="A2770" s="19" t="s">
        <v>5367</v>
      </c>
    </row>
    <row r="2771" spans="1:1" x14ac:dyDescent="0.25">
      <c r="A2771" s="19" t="s">
        <v>5368</v>
      </c>
    </row>
    <row r="2772" spans="1:1" x14ac:dyDescent="0.25">
      <c r="A2772" s="19" t="s">
        <v>5369</v>
      </c>
    </row>
    <row r="2773" spans="1:1" x14ac:dyDescent="0.25">
      <c r="A2773" s="19" t="s">
        <v>5370</v>
      </c>
    </row>
    <row r="2774" spans="1:1" x14ac:dyDescent="0.25">
      <c r="A2774" s="19" t="s">
        <v>5371</v>
      </c>
    </row>
    <row r="2775" spans="1:1" x14ac:dyDescent="0.25">
      <c r="A2775" s="19" t="s">
        <v>5372</v>
      </c>
    </row>
    <row r="2776" spans="1:1" x14ac:dyDescent="0.25">
      <c r="A2776" s="19" t="s">
        <v>5373</v>
      </c>
    </row>
    <row r="2777" spans="1:1" x14ac:dyDescent="0.25">
      <c r="A2777" s="19" t="s">
        <v>5374</v>
      </c>
    </row>
    <row r="2778" spans="1:1" x14ac:dyDescent="0.25">
      <c r="A2778" s="19" t="s">
        <v>5375</v>
      </c>
    </row>
    <row r="2779" spans="1:1" x14ac:dyDescent="0.25">
      <c r="A2779" s="19" t="s">
        <v>5376</v>
      </c>
    </row>
    <row r="2780" spans="1:1" x14ac:dyDescent="0.25">
      <c r="A2780" s="19" t="s">
        <v>5377</v>
      </c>
    </row>
    <row r="2781" spans="1:1" x14ac:dyDescent="0.25">
      <c r="A2781" s="19" t="s">
        <v>5378</v>
      </c>
    </row>
    <row r="2782" spans="1:1" x14ac:dyDescent="0.25">
      <c r="A2782" s="19" t="s">
        <v>5379</v>
      </c>
    </row>
    <row r="2783" spans="1:1" x14ac:dyDescent="0.25">
      <c r="A2783" s="19" t="s">
        <v>5380</v>
      </c>
    </row>
    <row r="2784" spans="1:1" x14ac:dyDescent="0.25">
      <c r="A2784" s="19" t="s">
        <v>5381</v>
      </c>
    </row>
    <row r="2785" spans="1:1" x14ac:dyDescent="0.25">
      <c r="A2785" s="19" t="s">
        <v>5382</v>
      </c>
    </row>
    <row r="2786" spans="1:1" x14ac:dyDescent="0.25">
      <c r="A2786" s="19" t="s">
        <v>5383</v>
      </c>
    </row>
    <row r="2787" spans="1:1" x14ac:dyDescent="0.25">
      <c r="A2787" s="19" t="s">
        <v>5384</v>
      </c>
    </row>
    <row r="2788" spans="1:1" x14ac:dyDescent="0.25">
      <c r="A2788" s="19" t="s">
        <v>5385</v>
      </c>
    </row>
    <row r="2789" spans="1:1" x14ac:dyDescent="0.25">
      <c r="A2789" s="19" t="s">
        <v>5386</v>
      </c>
    </row>
    <row r="2790" spans="1:1" x14ac:dyDescent="0.25">
      <c r="A2790" s="19" t="s">
        <v>5387</v>
      </c>
    </row>
    <row r="2791" spans="1:1" x14ac:dyDescent="0.25">
      <c r="A2791" s="19" t="s">
        <v>5388</v>
      </c>
    </row>
    <row r="2792" spans="1:1" x14ac:dyDescent="0.25">
      <c r="A2792" s="19" t="s">
        <v>5389</v>
      </c>
    </row>
    <row r="2793" spans="1:1" x14ac:dyDescent="0.25">
      <c r="A2793" s="19" t="s">
        <v>5390</v>
      </c>
    </row>
    <row r="2794" spans="1:1" x14ac:dyDescent="0.25">
      <c r="A2794" s="19" t="s">
        <v>5391</v>
      </c>
    </row>
    <row r="2795" spans="1:1" x14ac:dyDescent="0.25">
      <c r="A2795" s="19" t="s">
        <v>5392</v>
      </c>
    </row>
    <row r="2796" spans="1:1" x14ac:dyDescent="0.25">
      <c r="A2796" s="19" t="s">
        <v>5393</v>
      </c>
    </row>
    <row r="2797" spans="1:1" x14ac:dyDescent="0.25">
      <c r="A2797" s="19" t="s">
        <v>5394</v>
      </c>
    </row>
    <row r="2798" spans="1:1" x14ac:dyDescent="0.25">
      <c r="A2798" s="19" t="s">
        <v>5395</v>
      </c>
    </row>
    <row r="2799" spans="1:1" x14ac:dyDescent="0.25">
      <c r="A2799" s="19" t="s">
        <v>5396</v>
      </c>
    </row>
    <row r="2800" spans="1:1" x14ac:dyDescent="0.25">
      <c r="A2800" s="19" t="s">
        <v>5397</v>
      </c>
    </row>
    <row r="2801" spans="1:1" x14ac:dyDescent="0.25">
      <c r="A2801" s="19" t="s">
        <v>5398</v>
      </c>
    </row>
    <row r="2802" spans="1:1" x14ac:dyDescent="0.25">
      <c r="A2802" s="19" t="s">
        <v>5399</v>
      </c>
    </row>
    <row r="2803" spans="1:1" x14ac:dyDescent="0.25">
      <c r="A2803" s="19" t="s">
        <v>5400</v>
      </c>
    </row>
    <row r="2804" spans="1:1" x14ac:dyDescent="0.25">
      <c r="A2804" s="19" t="s">
        <v>5401</v>
      </c>
    </row>
    <row r="2805" spans="1:1" x14ac:dyDescent="0.25">
      <c r="A2805" s="19" t="s">
        <v>5402</v>
      </c>
    </row>
    <row r="2806" spans="1:1" x14ac:dyDescent="0.25">
      <c r="A2806" s="19" t="s">
        <v>5403</v>
      </c>
    </row>
    <row r="2807" spans="1:1" x14ac:dyDescent="0.25">
      <c r="A2807" s="19" t="s">
        <v>5404</v>
      </c>
    </row>
    <row r="2808" spans="1:1" x14ac:dyDescent="0.25">
      <c r="A2808" s="19" t="s">
        <v>5405</v>
      </c>
    </row>
    <row r="2809" spans="1:1" x14ac:dyDescent="0.25">
      <c r="A2809" s="19" t="s">
        <v>5406</v>
      </c>
    </row>
    <row r="2810" spans="1:1" x14ac:dyDescent="0.25">
      <c r="A2810" s="19" t="s">
        <v>5407</v>
      </c>
    </row>
    <row r="2811" spans="1:1" x14ac:dyDescent="0.25">
      <c r="A2811" s="19" t="s">
        <v>5408</v>
      </c>
    </row>
    <row r="2812" spans="1:1" x14ac:dyDescent="0.25">
      <c r="A2812" s="19" t="s">
        <v>5409</v>
      </c>
    </row>
    <row r="2813" spans="1:1" x14ac:dyDescent="0.25">
      <c r="A2813" s="19" t="s">
        <v>5410</v>
      </c>
    </row>
    <row r="2814" spans="1:1" x14ac:dyDescent="0.25">
      <c r="A2814" s="19" t="s">
        <v>5411</v>
      </c>
    </row>
    <row r="2815" spans="1:1" x14ac:dyDescent="0.25">
      <c r="A2815" s="19" t="s">
        <v>5412</v>
      </c>
    </row>
    <row r="2816" spans="1:1" x14ac:dyDescent="0.25">
      <c r="A2816" s="19" t="s">
        <v>5413</v>
      </c>
    </row>
    <row r="2817" spans="1:1" x14ac:dyDescent="0.25">
      <c r="A2817" s="19" t="s">
        <v>5414</v>
      </c>
    </row>
    <row r="2818" spans="1:1" x14ac:dyDescent="0.25">
      <c r="A2818" s="19" t="s">
        <v>5415</v>
      </c>
    </row>
    <row r="2819" spans="1:1" x14ac:dyDescent="0.25">
      <c r="A2819" s="19" t="s">
        <v>5416</v>
      </c>
    </row>
    <row r="2820" spans="1:1" x14ac:dyDescent="0.25">
      <c r="A2820" s="19" t="s">
        <v>5417</v>
      </c>
    </row>
    <row r="2821" spans="1:1" x14ac:dyDescent="0.25">
      <c r="A2821" s="19" t="s">
        <v>5418</v>
      </c>
    </row>
    <row r="2822" spans="1:1" x14ac:dyDescent="0.25">
      <c r="A2822" s="19" t="s">
        <v>5419</v>
      </c>
    </row>
    <row r="2823" spans="1:1" x14ac:dyDescent="0.25">
      <c r="A2823" s="19" t="s">
        <v>5420</v>
      </c>
    </row>
    <row r="2824" spans="1:1" x14ac:dyDescent="0.25">
      <c r="A2824" s="19" t="s">
        <v>5421</v>
      </c>
    </row>
    <row r="2825" spans="1:1" x14ac:dyDescent="0.25">
      <c r="A2825" s="19" t="s">
        <v>5422</v>
      </c>
    </row>
    <row r="2826" spans="1:1" x14ac:dyDescent="0.25">
      <c r="A2826" s="19" t="s">
        <v>5423</v>
      </c>
    </row>
    <row r="2827" spans="1:1" x14ac:dyDescent="0.25">
      <c r="A2827" s="19" t="s">
        <v>5424</v>
      </c>
    </row>
    <row r="2828" spans="1:1" x14ac:dyDescent="0.25">
      <c r="A2828" s="19" t="s">
        <v>5425</v>
      </c>
    </row>
    <row r="2829" spans="1:1" x14ac:dyDescent="0.25">
      <c r="A2829" s="19" t="s">
        <v>5426</v>
      </c>
    </row>
    <row r="2830" spans="1:1" x14ac:dyDescent="0.25">
      <c r="A2830" s="19" t="s">
        <v>5427</v>
      </c>
    </row>
    <row r="2831" spans="1:1" x14ac:dyDescent="0.25">
      <c r="A2831" s="19" t="s">
        <v>5428</v>
      </c>
    </row>
    <row r="2832" spans="1:1" x14ac:dyDescent="0.25">
      <c r="A2832" s="19" t="s">
        <v>5429</v>
      </c>
    </row>
    <row r="2833" spans="1:1" x14ac:dyDescent="0.25">
      <c r="A2833" s="19" t="s">
        <v>5430</v>
      </c>
    </row>
    <row r="2834" spans="1:1" x14ac:dyDescent="0.25">
      <c r="A2834" s="19" t="s">
        <v>5431</v>
      </c>
    </row>
    <row r="2835" spans="1:1" x14ac:dyDescent="0.25">
      <c r="A2835" s="19" t="s">
        <v>5432</v>
      </c>
    </row>
    <row r="2836" spans="1:1" x14ac:dyDescent="0.25">
      <c r="A2836" s="19" t="s">
        <v>5433</v>
      </c>
    </row>
    <row r="2837" spans="1:1" x14ac:dyDescent="0.25">
      <c r="A2837" s="19" t="s">
        <v>5434</v>
      </c>
    </row>
    <row r="2838" spans="1:1" x14ac:dyDescent="0.25">
      <c r="A2838" s="19" t="s">
        <v>5435</v>
      </c>
    </row>
    <row r="2839" spans="1:1" x14ac:dyDescent="0.25">
      <c r="A2839" s="19" t="s">
        <v>5436</v>
      </c>
    </row>
    <row r="2840" spans="1:1" x14ac:dyDescent="0.25">
      <c r="A2840" s="19" t="s">
        <v>5437</v>
      </c>
    </row>
    <row r="2841" spans="1:1" x14ac:dyDescent="0.25">
      <c r="A2841" s="19" t="s">
        <v>5438</v>
      </c>
    </row>
    <row r="2842" spans="1:1" x14ac:dyDescent="0.25">
      <c r="A2842" s="19" t="s">
        <v>5439</v>
      </c>
    </row>
    <row r="2843" spans="1:1" x14ac:dyDescent="0.25">
      <c r="A2843" s="19" t="s">
        <v>5440</v>
      </c>
    </row>
    <row r="2844" spans="1:1" x14ac:dyDescent="0.25">
      <c r="A2844" s="19" t="s">
        <v>5441</v>
      </c>
    </row>
    <row r="2845" spans="1:1" x14ac:dyDescent="0.25">
      <c r="A2845" s="19" t="s">
        <v>5442</v>
      </c>
    </row>
    <row r="2846" spans="1:1" x14ac:dyDescent="0.25">
      <c r="A2846" s="19" t="s">
        <v>5443</v>
      </c>
    </row>
    <row r="2847" spans="1:1" x14ac:dyDescent="0.25">
      <c r="A2847" s="19" t="s">
        <v>5444</v>
      </c>
    </row>
    <row r="2848" spans="1:1" x14ac:dyDescent="0.25">
      <c r="A2848" s="19" t="s">
        <v>5445</v>
      </c>
    </row>
    <row r="2849" spans="1:1" x14ac:dyDescent="0.25">
      <c r="A2849" s="19" t="s">
        <v>5446</v>
      </c>
    </row>
    <row r="2850" spans="1:1" x14ac:dyDescent="0.25">
      <c r="A2850" s="19" t="s">
        <v>5447</v>
      </c>
    </row>
    <row r="2851" spans="1:1" x14ac:dyDescent="0.25">
      <c r="A2851" s="19" t="s">
        <v>5448</v>
      </c>
    </row>
    <row r="2852" spans="1:1" x14ac:dyDescent="0.25">
      <c r="A2852" s="19" t="s">
        <v>5449</v>
      </c>
    </row>
    <row r="2853" spans="1:1" x14ac:dyDescent="0.25">
      <c r="A2853" s="19" t="s">
        <v>5449</v>
      </c>
    </row>
    <row r="2854" spans="1:1" x14ac:dyDescent="0.25">
      <c r="A2854" s="19" t="s">
        <v>5450</v>
      </c>
    </row>
    <row r="2855" spans="1:1" x14ac:dyDescent="0.25">
      <c r="A2855" s="19" t="s">
        <v>5451</v>
      </c>
    </row>
    <row r="2856" spans="1:1" x14ac:dyDescent="0.25">
      <c r="A2856" s="19" t="s">
        <v>5452</v>
      </c>
    </row>
    <row r="2857" spans="1:1" x14ac:dyDescent="0.25">
      <c r="A2857" s="19" t="s">
        <v>5453</v>
      </c>
    </row>
    <row r="2858" spans="1:1" x14ac:dyDescent="0.25">
      <c r="A2858" s="19" t="s">
        <v>5454</v>
      </c>
    </row>
    <row r="2859" spans="1:1" x14ac:dyDescent="0.25">
      <c r="A2859" s="19" t="s">
        <v>5455</v>
      </c>
    </row>
    <row r="2860" spans="1:1" x14ac:dyDescent="0.25">
      <c r="A2860" s="19" t="s">
        <v>5456</v>
      </c>
    </row>
    <row r="2861" spans="1:1" x14ac:dyDescent="0.25">
      <c r="A2861" s="19" t="s">
        <v>5457</v>
      </c>
    </row>
    <row r="2862" spans="1:1" x14ac:dyDescent="0.25">
      <c r="A2862" s="19" t="s">
        <v>5458</v>
      </c>
    </row>
    <row r="2863" spans="1:1" x14ac:dyDescent="0.25">
      <c r="A2863" s="19" t="s">
        <v>5459</v>
      </c>
    </row>
    <row r="2864" spans="1:1" x14ac:dyDescent="0.25">
      <c r="A2864" s="19" t="s">
        <v>5460</v>
      </c>
    </row>
    <row r="2865" spans="1:1" x14ac:dyDescent="0.25">
      <c r="A2865" s="19" t="s">
        <v>5460</v>
      </c>
    </row>
    <row r="2866" spans="1:1" x14ac:dyDescent="0.25">
      <c r="A2866" s="19" t="s">
        <v>5461</v>
      </c>
    </row>
    <row r="2867" spans="1:1" x14ac:dyDescent="0.25">
      <c r="A2867" s="19" t="s">
        <v>5462</v>
      </c>
    </row>
    <row r="2868" spans="1:1" x14ac:dyDescent="0.25">
      <c r="A2868" s="19" t="s">
        <v>5462</v>
      </c>
    </row>
    <row r="2869" spans="1:1" x14ac:dyDescent="0.25">
      <c r="A2869" s="19" t="s">
        <v>5463</v>
      </c>
    </row>
    <row r="2870" spans="1:1" x14ac:dyDescent="0.25">
      <c r="A2870" s="19" t="s">
        <v>5464</v>
      </c>
    </row>
    <row r="2871" spans="1:1" x14ac:dyDescent="0.25">
      <c r="A2871" s="19" t="s">
        <v>5465</v>
      </c>
    </row>
    <row r="2872" spans="1:1" x14ac:dyDescent="0.25">
      <c r="A2872" s="19" t="s">
        <v>5466</v>
      </c>
    </row>
    <row r="2873" spans="1:1" x14ac:dyDescent="0.25">
      <c r="A2873" s="19" t="s">
        <v>5467</v>
      </c>
    </row>
    <row r="2874" spans="1:1" x14ac:dyDescent="0.25">
      <c r="A2874" s="19" t="s">
        <v>5468</v>
      </c>
    </row>
    <row r="2875" spans="1:1" x14ac:dyDescent="0.25">
      <c r="A2875" s="19" t="s">
        <v>5469</v>
      </c>
    </row>
    <row r="2876" spans="1:1" x14ac:dyDescent="0.25">
      <c r="A2876" s="19" t="s">
        <v>5470</v>
      </c>
    </row>
    <row r="2877" spans="1:1" x14ac:dyDescent="0.25">
      <c r="A2877" s="19" t="s">
        <v>5471</v>
      </c>
    </row>
    <row r="2878" spans="1:1" x14ac:dyDescent="0.25">
      <c r="A2878" s="19" t="s">
        <v>5472</v>
      </c>
    </row>
    <row r="2879" spans="1:1" x14ac:dyDescent="0.25">
      <c r="A2879" s="19" t="s">
        <v>5473</v>
      </c>
    </row>
    <row r="2880" spans="1:1" x14ac:dyDescent="0.25">
      <c r="A2880" s="19" t="s">
        <v>5474</v>
      </c>
    </row>
    <row r="2881" spans="1:1" x14ac:dyDescent="0.25">
      <c r="A2881" s="19" t="s">
        <v>5475</v>
      </c>
    </row>
    <row r="2882" spans="1:1" x14ac:dyDescent="0.25">
      <c r="A2882" s="19" t="s">
        <v>5476</v>
      </c>
    </row>
    <row r="2883" spans="1:1" x14ac:dyDescent="0.25">
      <c r="A2883" s="19" t="s">
        <v>5477</v>
      </c>
    </row>
    <row r="2884" spans="1:1" x14ac:dyDescent="0.25">
      <c r="A2884" s="19" t="s">
        <v>5478</v>
      </c>
    </row>
    <row r="2885" spans="1:1" x14ac:dyDescent="0.25">
      <c r="A2885" s="19" t="s">
        <v>5479</v>
      </c>
    </row>
    <row r="2886" spans="1:1" x14ac:dyDescent="0.25">
      <c r="A2886" s="19" t="s">
        <v>5480</v>
      </c>
    </row>
    <row r="2887" spans="1:1" x14ac:dyDescent="0.25">
      <c r="A2887" s="19" t="s">
        <v>5481</v>
      </c>
    </row>
    <row r="2888" spans="1:1" x14ac:dyDescent="0.25">
      <c r="A2888" s="19" t="s">
        <v>5482</v>
      </c>
    </row>
    <row r="2889" spans="1:1" x14ac:dyDescent="0.25">
      <c r="A2889" s="19" t="s">
        <v>5483</v>
      </c>
    </row>
    <row r="2890" spans="1:1" x14ac:dyDescent="0.25">
      <c r="A2890" s="19" t="s">
        <v>5484</v>
      </c>
    </row>
    <row r="2891" spans="1:1" x14ac:dyDescent="0.25">
      <c r="A2891" s="19" t="s">
        <v>5485</v>
      </c>
    </row>
    <row r="2892" spans="1:1" x14ac:dyDescent="0.25">
      <c r="A2892" s="19" t="s">
        <v>5486</v>
      </c>
    </row>
    <row r="2893" spans="1:1" x14ac:dyDescent="0.25">
      <c r="A2893" s="19" t="s">
        <v>5487</v>
      </c>
    </row>
    <row r="2894" spans="1:1" x14ac:dyDescent="0.25">
      <c r="A2894" s="19" t="s">
        <v>5488</v>
      </c>
    </row>
    <row r="2895" spans="1:1" x14ac:dyDescent="0.25">
      <c r="A2895" s="19" t="s">
        <v>5489</v>
      </c>
    </row>
    <row r="2896" spans="1:1" x14ac:dyDescent="0.25">
      <c r="A2896" s="19" t="s">
        <v>5490</v>
      </c>
    </row>
    <row r="2897" spans="1:1" x14ac:dyDescent="0.25">
      <c r="A2897" s="19" t="s">
        <v>5491</v>
      </c>
    </row>
    <row r="2898" spans="1:1" x14ac:dyDescent="0.25">
      <c r="A2898" s="19" t="s">
        <v>5492</v>
      </c>
    </row>
    <row r="2899" spans="1:1" x14ac:dyDescent="0.25">
      <c r="A2899" s="19" t="s">
        <v>5493</v>
      </c>
    </row>
    <row r="2900" spans="1:1" x14ac:dyDescent="0.25">
      <c r="A2900" s="19" t="s">
        <v>5494</v>
      </c>
    </row>
    <row r="2901" spans="1:1" x14ac:dyDescent="0.25">
      <c r="A2901" s="19" t="s">
        <v>5495</v>
      </c>
    </row>
    <row r="2902" spans="1:1" x14ac:dyDescent="0.25">
      <c r="A2902" s="19" t="s">
        <v>5496</v>
      </c>
    </row>
    <row r="2903" spans="1:1" x14ac:dyDescent="0.25">
      <c r="A2903" s="19" t="s">
        <v>5497</v>
      </c>
    </row>
    <row r="2904" spans="1:1" x14ac:dyDescent="0.25">
      <c r="A2904" s="19" t="s">
        <v>5498</v>
      </c>
    </row>
    <row r="2905" spans="1:1" x14ac:dyDescent="0.25">
      <c r="A2905" s="19" t="s">
        <v>5499</v>
      </c>
    </row>
    <row r="2906" spans="1:1" x14ac:dyDescent="0.25">
      <c r="A2906" s="19" t="s">
        <v>5500</v>
      </c>
    </row>
    <row r="2907" spans="1:1" x14ac:dyDescent="0.25">
      <c r="A2907" s="19" t="s">
        <v>5501</v>
      </c>
    </row>
    <row r="2908" spans="1:1" x14ac:dyDescent="0.25">
      <c r="A2908" s="19" t="s">
        <v>5502</v>
      </c>
    </row>
    <row r="2909" spans="1:1" x14ac:dyDescent="0.25">
      <c r="A2909" s="19" t="s">
        <v>5503</v>
      </c>
    </row>
    <row r="2910" spans="1:1" x14ac:dyDescent="0.25">
      <c r="A2910" s="19" t="s">
        <v>5504</v>
      </c>
    </row>
    <row r="2911" spans="1:1" x14ac:dyDescent="0.25">
      <c r="A2911" s="19" t="s">
        <v>5505</v>
      </c>
    </row>
    <row r="2912" spans="1:1" x14ac:dyDescent="0.25">
      <c r="A2912" s="19" t="s">
        <v>5506</v>
      </c>
    </row>
    <row r="2913" spans="1:1" x14ac:dyDescent="0.25">
      <c r="A2913" s="19" t="s">
        <v>5507</v>
      </c>
    </row>
    <row r="2914" spans="1:1" x14ac:dyDescent="0.25">
      <c r="A2914" s="19" t="s">
        <v>5508</v>
      </c>
    </row>
    <row r="2915" spans="1:1" x14ac:dyDescent="0.25">
      <c r="A2915" s="19" t="s">
        <v>5509</v>
      </c>
    </row>
    <row r="2916" spans="1:1" x14ac:dyDescent="0.25">
      <c r="A2916" s="19" t="s">
        <v>5510</v>
      </c>
    </row>
    <row r="2917" spans="1:1" x14ac:dyDescent="0.25">
      <c r="A2917" s="19" t="s">
        <v>5511</v>
      </c>
    </row>
    <row r="2918" spans="1:1" x14ac:dyDescent="0.25">
      <c r="A2918" s="19" t="s">
        <v>5512</v>
      </c>
    </row>
    <row r="2919" spans="1:1" x14ac:dyDescent="0.25">
      <c r="A2919" s="19" t="s">
        <v>5513</v>
      </c>
    </row>
    <row r="2920" spans="1:1" x14ac:dyDescent="0.25">
      <c r="A2920" s="19" t="s">
        <v>5514</v>
      </c>
    </row>
    <row r="2921" spans="1:1" x14ac:dyDescent="0.25">
      <c r="A2921" s="19" t="s">
        <v>5515</v>
      </c>
    </row>
    <row r="2922" spans="1:1" x14ac:dyDescent="0.25">
      <c r="A2922" s="19" t="s">
        <v>5516</v>
      </c>
    </row>
    <row r="2923" spans="1:1" x14ac:dyDescent="0.25">
      <c r="A2923" s="19" t="s">
        <v>5517</v>
      </c>
    </row>
    <row r="2924" spans="1:1" x14ac:dyDescent="0.25">
      <c r="A2924" s="19" t="s">
        <v>5518</v>
      </c>
    </row>
    <row r="2925" spans="1:1" x14ac:dyDescent="0.25">
      <c r="A2925" s="19" t="s">
        <v>5519</v>
      </c>
    </row>
    <row r="2926" spans="1:1" x14ac:dyDescent="0.25">
      <c r="A2926" s="19" t="s">
        <v>5520</v>
      </c>
    </row>
    <row r="2927" spans="1:1" x14ac:dyDescent="0.25">
      <c r="A2927" s="19" t="s">
        <v>5521</v>
      </c>
    </row>
    <row r="2928" spans="1:1" x14ac:dyDescent="0.25">
      <c r="A2928" s="19" t="s">
        <v>5522</v>
      </c>
    </row>
    <row r="2929" spans="1:1" x14ac:dyDescent="0.25">
      <c r="A2929" s="19" t="s">
        <v>5523</v>
      </c>
    </row>
    <row r="2930" spans="1:1" x14ac:dyDescent="0.25">
      <c r="A2930" s="19" t="s">
        <v>5524</v>
      </c>
    </row>
    <row r="2931" spans="1:1" x14ac:dyDescent="0.25">
      <c r="A2931" s="19" t="s">
        <v>5525</v>
      </c>
    </row>
    <row r="2932" spans="1:1" x14ac:dyDescent="0.25">
      <c r="A2932" s="19" t="s">
        <v>5526</v>
      </c>
    </row>
    <row r="2933" spans="1:1" x14ac:dyDescent="0.25">
      <c r="A2933" s="19" t="s">
        <v>5527</v>
      </c>
    </row>
    <row r="2934" spans="1:1" x14ac:dyDescent="0.25">
      <c r="A2934" s="19" t="s">
        <v>5528</v>
      </c>
    </row>
    <row r="2935" spans="1:1" x14ac:dyDescent="0.25">
      <c r="A2935" s="19" t="s">
        <v>5529</v>
      </c>
    </row>
    <row r="2936" spans="1:1" x14ac:dyDescent="0.25">
      <c r="A2936" s="19" t="s">
        <v>5530</v>
      </c>
    </row>
    <row r="2937" spans="1:1" x14ac:dyDescent="0.25">
      <c r="A2937" s="19" t="s">
        <v>5531</v>
      </c>
    </row>
    <row r="2938" spans="1:1" x14ac:dyDescent="0.25">
      <c r="A2938" s="19" t="s">
        <v>5532</v>
      </c>
    </row>
    <row r="2939" spans="1:1" x14ac:dyDescent="0.25">
      <c r="A2939" s="19" t="s">
        <v>5533</v>
      </c>
    </row>
    <row r="2940" spans="1:1" x14ac:dyDescent="0.25">
      <c r="A2940" s="19" t="s">
        <v>5534</v>
      </c>
    </row>
    <row r="2941" spans="1:1" x14ac:dyDescent="0.25">
      <c r="A2941" s="19" t="s">
        <v>5535</v>
      </c>
    </row>
    <row r="2942" spans="1:1" x14ac:dyDescent="0.25">
      <c r="A2942" s="19" t="s">
        <v>5536</v>
      </c>
    </row>
    <row r="2943" spans="1:1" x14ac:dyDescent="0.25">
      <c r="A2943" s="19" t="s">
        <v>5537</v>
      </c>
    </row>
    <row r="2944" spans="1:1" x14ac:dyDescent="0.25">
      <c r="A2944" s="19" t="s">
        <v>5538</v>
      </c>
    </row>
    <row r="2945" spans="1:1" x14ac:dyDescent="0.25">
      <c r="A2945" s="19" t="s">
        <v>5539</v>
      </c>
    </row>
    <row r="2946" spans="1:1" x14ac:dyDescent="0.25">
      <c r="A2946" s="19" t="s">
        <v>5539</v>
      </c>
    </row>
    <row r="2947" spans="1:1" x14ac:dyDescent="0.25">
      <c r="A2947" s="19" t="s">
        <v>5539</v>
      </c>
    </row>
    <row r="2948" spans="1:1" x14ac:dyDescent="0.25">
      <c r="A2948" s="19" t="s">
        <v>5540</v>
      </c>
    </row>
    <row r="2949" spans="1:1" x14ac:dyDescent="0.25">
      <c r="A2949" s="19" t="s">
        <v>5541</v>
      </c>
    </row>
    <row r="2950" spans="1:1" x14ac:dyDescent="0.25">
      <c r="A2950" s="19" t="s">
        <v>5542</v>
      </c>
    </row>
    <row r="2951" spans="1:1" x14ac:dyDescent="0.25">
      <c r="A2951" s="19" t="s">
        <v>5543</v>
      </c>
    </row>
    <row r="2952" spans="1:1" x14ac:dyDescent="0.25">
      <c r="A2952" s="19" t="s">
        <v>5544</v>
      </c>
    </row>
    <row r="2953" spans="1:1" x14ac:dyDescent="0.25">
      <c r="A2953" s="19" t="s">
        <v>5545</v>
      </c>
    </row>
    <row r="2954" spans="1:1" x14ac:dyDescent="0.25">
      <c r="A2954" s="19" t="s">
        <v>5546</v>
      </c>
    </row>
    <row r="2955" spans="1:1" x14ac:dyDescent="0.25">
      <c r="A2955" s="19" t="s">
        <v>5547</v>
      </c>
    </row>
    <row r="2956" spans="1:1" x14ac:dyDescent="0.25">
      <c r="A2956" s="19" t="s">
        <v>5548</v>
      </c>
    </row>
    <row r="2957" spans="1:1" x14ac:dyDescent="0.25">
      <c r="A2957" s="19" t="s">
        <v>5549</v>
      </c>
    </row>
    <row r="2958" spans="1:1" x14ac:dyDescent="0.25">
      <c r="A2958" s="19" t="s">
        <v>5550</v>
      </c>
    </row>
    <row r="2959" spans="1:1" x14ac:dyDescent="0.25">
      <c r="A2959" s="19" t="s">
        <v>5551</v>
      </c>
    </row>
    <row r="2960" spans="1:1" x14ac:dyDescent="0.25">
      <c r="A2960" s="19" t="s">
        <v>5552</v>
      </c>
    </row>
    <row r="2961" spans="1:1" x14ac:dyDescent="0.25">
      <c r="A2961" s="19" t="s">
        <v>5553</v>
      </c>
    </row>
    <row r="2962" spans="1:1" x14ac:dyDescent="0.25">
      <c r="A2962" s="19" t="s">
        <v>5554</v>
      </c>
    </row>
    <row r="2963" spans="1:1" x14ac:dyDescent="0.25">
      <c r="A2963" s="19" t="s">
        <v>5555</v>
      </c>
    </row>
    <row r="2964" spans="1:1" x14ac:dyDescent="0.25">
      <c r="A2964" s="19" t="s">
        <v>5556</v>
      </c>
    </row>
    <row r="2965" spans="1:1" x14ac:dyDescent="0.25">
      <c r="A2965" s="19" t="s">
        <v>5557</v>
      </c>
    </row>
    <row r="2966" spans="1:1" x14ac:dyDescent="0.25">
      <c r="A2966" s="19" t="s">
        <v>5558</v>
      </c>
    </row>
    <row r="2967" spans="1:1" x14ac:dyDescent="0.25">
      <c r="A2967" s="19" t="s">
        <v>5559</v>
      </c>
    </row>
    <row r="2968" spans="1:1" x14ac:dyDescent="0.25">
      <c r="A2968" s="19" t="s">
        <v>5560</v>
      </c>
    </row>
    <row r="2969" spans="1:1" x14ac:dyDescent="0.25">
      <c r="A2969" s="19" t="s">
        <v>5561</v>
      </c>
    </row>
    <row r="2970" spans="1:1" x14ac:dyDescent="0.25">
      <c r="A2970" s="19" t="s">
        <v>5562</v>
      </c>
    </row>
    <row r="2971" spans="1:1" x14ac:dyDescent="0.25">
      <c r="A2971" s="19" t="s">
        <v>5563</v>
      </c>
    </row>
    <row r="2972" spans="1:1" x14ac:dyDescent="0.25">
      <c r="A2972" s="19" t="s">
        <v>5564</v>
      </c>
    </row>
    <row r="2973" spans="1:1" x14ac:dyDescent="0.25">
      <c r="A2973" s="19" t="s">
        <v>5565</v>
      </c>
    </row>
    <row r="2974" spans="1:1" x14ac:dyDescent="0.25">
      <c r="A2974" s="19" t="s">
        <v>5566</v>
      </c>
    </row>
    <row r="2975" spans="1:1" x14ac:dyDescent="0.25">
      <c r="A2975" s="19" t="s">
        <v>5567</v>
      </c>
    </row>
    <row r="2976" spans="1:1" x14ac:dyDescent="0.25">
      <c r="A2976" s="19" t="s">
        <v>5568</v>
      </c>
    </row>
    <row r="2977" spans="1:1" x14ac:dyDescent="0.25">
      <c r="A2977" s="19" t="s">
        <v>5569</v>
      </c>
    </row>
    <row r="2978" spans="1:1" x14ac:dyDescent="0.25">
      <c r="A2978" s="19" t="s">
        <v>5570</v>
      </c>
    </row>
    <row r="2979" spans="1:1" x14ac:dyDescent="0.25">
      <c r="A2979" s="19" t="s">
        <v>5571</v>
      </c>
    </row>
    <row r="2980" spans="1:1" x14ac:dyDescent="0.25">
      <c r="A2980" s="19" t="s">
        <v>5572</v>
      </c>
    </row>
    <row r="2981" spans="1:1" x14ac:dyDescent="0.25">
      <c r="A2981" s="19" t="s">
        <v>5573</v>
      </c>
    </row>
    <row r="2982" spans="1:1" x14ac:dyDescent="0.25">
      <c r="A2982" s="19" t="s">
        <v>5574</v>
      </c>
    </row>
    <row r="2983" spans="1:1" x14ac:dyDescent="0.25">
      <c r="A2983" s="19" t="s">
        <v>5575</v>
      </c>
    </row>
    <row r="2984" spans="1:1" x14ac:dyDescent="0.25">
      <c r="A2984" s="19" t="s">
        <v>5576</v>
      </c>
    </row>
    <row r="2985" spans="1:1" x14ac:dyDescent="0.25">
      <c r="A2985" s="19" t="s">
        <v>5577</v>
      </c>
    </row>
    <row r="2986" spans="1:1" x14ac:dyDescent="0.25">
      <c r="A2986" s="19" t="s">
        <v>5578</v>
      </c>
    </row>
    <row r="2987" spans="1:1" x14ac:dyDescent="0.25">
      <c r="A2987" s="19" t="s">
        <v>5579</v>
      </c>
    </row>
    <row r="2988" spans="1:1" x14ac:dyDescent="0.25">
      <c r="A2988" s="19" t="s">
        <v>5580</v>
      </c>
    </row>
    <row r="2989" spans="1:1" x14ac:dyDescent="0.25">
      <c r="A2989" s="19" t="s">
        <v>5581</v>
      </c>
    </row>
    <row r="2990" spans="1:1" x14ac:dyDescent="0.25">
      <c r="A2990" s="19" t="s">
        <v>5582</v>
      </c>
    </row>
    <row r="2991" spans="1:1" x14ac:dyDescent="0.25">
      <c r="A2991" s="19" t="s">
        <v>5583</v>
      </c>
    </row>
    <row r="2992" spans="1:1" x14ac:dyDescent="0.25">
      <c r="A2992" s="19" t="s">
        <v>5584</v>
      </c>
    </row>
    <row r="2993" spans="1:1" x14ac:dyDescent="0.25">
      <c r="A2993" s="19" t="s">
        <v>5585</v>
      </c>
    </row>
    <row r="2994" spans="1:1" x14ac:dyDescent="0.25">
      <c r="A2994" s="19" t="s">
        <v>5586</v>
      </c>
    </row>
    <row r="2995" spans="1:1" x14ac:dyDescent="0.25">
      <c r="A2995" s="19" t="s">
        <v>5587</v>
      </c>
    </row>
    <row r="2996" spans="1:1" x14ac:dyDescent="0.25">
      <c r="A2996" s="19" t="s">
        <v>5588</v>
      </c>
    </row>
    <row r="2997" spans="1:1" x14ac:dyDescent="0.25">
      <c r="A2997" s="19" t="s">
        <v>5589</v>
      </c>
    </row>
    <row r="2998" spans="1:1" x14ac:dyDescent="0.25">
      <c r="A2998" s="19" t="s">
        <v>5590</v>
      </c>
    </row>
    <row r="2999" spans="1:1" x14ac:dyDescent="0.25">
      <c r="A2999" s="19" t="s">
        <v>5591</v>
      </c>
    </row>
    <row r="3000" spans="1:1" x14ac:dyDescent="0.25">
      <c r="A3000" s="19" t="s">
        <v>5592</v>
      </c>
    </row>
    <row r="3001" spans="1:1" x14ac:dyDescent="0.25">
      <c r="A3001" s="19" t="s">
        <v>5593</v>
      </c>
    </row>
    <row r="3002" spans="1:1" x14ac:dyDescent="0.25">
      <c r="A3002" s="19" t="s">
        <v>5594</v>
      </c>
    </row>
    <row r="3003" spans="1:1" x14ac:dyDescent="0.25">
      <c r="A3003" s="19" t="s">
        <v>5595</v>
      </c>
    </row>
    <row r="3004" spans="1:1" x14ac:dyDescent="0.25">
      <c r="A3004" s="19" t="s">
        <v>5596</v>
      </c>
    </row>
    <row r="3005" spans="1:1" x14ac:dyDescent="0.25">
      <c r="A3005" s="19" t="s">
        <v>5597</v>
      </c>
    </row>
    <row r="3006" spans="1:1" x14ac:dyDescent="0.25">
      <c r="A3006" s="19" t="s">
        <v>5598</v>
      </c>
    </row>
    <row r="3007" spans="1:1" x14ac:dyDescent="0.25">
      <c r="A3007" s="19" t="s">
        <v>5599</v>
      </c>
    </row>
    <row r="3008" spans="1:1" x14ac:dyDescent="0.25">
      <c r="A3008" s="19" t="s">
        <v>5600</v>
      </c>
    </row>
    <row r="3009" spans="1:1" x14ac:dyDescent="0.25">
      <c r="A3009" s="19" t="s">
        <v>5601</v>
      </c>
    </row>
    <row r="3010" spans="1:1" x14ac:dyDescent="0.25">
      <c r="A3010" s="19" t="s">
        <v>5602</v>
      </c>
    </row>
    <row r="3011" spans="1:1" x14ac:dyDescent="0.25">
      <c r="A3011" s="19" t="s">
        <v>5603</v>
      </c>
    </row>
    <row r="3012" spans="1:1" x14ac:dyDescent="0.25">
      <c r="A3012" s="19" t="s">
        <v>5604</v>
      </c>
    </row>
    <row r="3013" spans="1:1" x14ac:dyDescent="0.25">
      <c r="A3013" s="19" t="s">
        <v>5605</v>
      </c>
    </row>
    <row r="3014" spans="1:1" x14ac:dyDescent="0.25">
      <c r="A3014" s="19" t="s">
        <v>5606</v>
      </c>
    </row>
    <row r="3015" spans="1:1" x14ac:dyDescent="0.25">
      <c r="A3015" s="19" t="s">
        <v>5607</v>
      </c>
    </row>
    <row r="3016" spans="1:1" x14ac:dyDescent="0.25">
      <c r="A3016" s="19" t="s">
        <v>5608</v>
      </c>
    </row>
    <row r="3017" spans="1:1" x14ac:dyDescent="0.25">
      <c r="A3017" s="19" t="s">
        <v>5609</v>
      </c>
    </row>
    <row r="3018" spans="1:1" x14ac:dyDescent="0.25">
      <c r="A3018" s="19" t="s">
        <v>5610</v>
      </c>
    </row>
    <row r="3019" spans="1:1" x14ac:dyDescent="0.25">
      <c r="A3019" s="19" t="s">
        <v>5611</v>
      </c>
    </row>
    <row r="3020" spans="1:1" x14ac:dyDescent="0.25">
      <c r="A3020" s="19" t="s">
        <v>5612</v>
      </c>
    </row>
    <row r="3021" spans="1:1" x14ac:dyDescent="0.25">
      <c r="A3021" s="19" t="s">
        <v>5613</v>
      </c>
    </row>
    <row r="3022" spans="1:1" x14ac:dyDescent="0.25">
      <c r="A3022" s="19" t="s">
        <v>5614</v>
      </c>
    </row>
    <row r="3023" spans="1:1" x14ac:dyDescent="0.25">
      <c r="A3023" s="19" t="s">
        <v>5615</v>
      </c>
    </row>
    <row r="3024" spans="1:1" x14ac:dyDescent="0.25">
      <c r="A3024" s="19" t="s">
        <v>5616</v>
      </c>
    </row>
    <row r="3025" spans="1:1" x14ac:dyDescent="0.25">
      <c r="A3025" s="19" t="s">
        <v>5617</v>
      </c>
    </row>
    <row r="3026" spans="1:1" x14ac:dyDescent="0.25">
      <c r="A3026" s="19" t="s">
        <v>5618</v>
      </c>
    </row>
    <row r="3027" spans="1:1" x14ac:dyDescent="0.25">
      <c r="A3027" s="19" t="s">
        <v>5619</v>
      </c>
    </row>
    <row r="3028" spans="1:1" x14ac:dyDescent="0.25">
      <c r="A3028" s="19" t="s">
        <v>5620</v>
      </c>
    </row>
    <row r="3029" spans="1:1" x14ac:dyDescent="0.25">
      <c r="A3029" s="19" t="s">
        <v>5621</v>
      </c>
    </row>
    <row r="3030" spans="1:1" x14ac:dyDescent="0.25">
      <c r="A3030" s="19" t="s">
        <v>5622</v>
      </c>
    </row>
    <row r="3031" spans="1:1" x14ac:dyDescent="0.25">
      <c r="A3031" s="19" t="s">
        <v>5623</v>
      </c>
    </row>
    <row r="3032" spans="1:1" x14ac:dyDescent="0.25">
      <c r="A3032" s="19" t="s">
        <v>5624</v>
      </c>
    </row>
    <row r="3033" spans="1:1" x14ac:dyDescent="0.25">
      <c r="A3033" s="19" t="s">
        <v>5625</v>
      </c>
    </row>
    <row r="3034" spans="1:1" x14ac:dyDescent="0.25">
      <c r="A3034" s="19" t="s">
        <v>5626</v>
      </c>
    </row>
    <row r="3035" spans="1:1" x14ac:dyDescent="0.25">
      <c r="A3035" s="19" t="s">
        <v>5627</v>
      </c>
    </row>
    <row r="3036" spans="1:1" x14ac:dyDescent="0.25">
      <c r="A3036" s="19" t="s">
        <v>5628</v>
      </c>
    </row>
    <row r="3037" spans="1:1" x14ac:dyDescent="0.25">
      <c r="A3037" s="19" t="s">
        <v>5629</v>
      </c>
    </row>
    <row r="3038" spans="1:1" x14ac:dyDescent="0.25">
      <c r="A3038" s="19" t="s">
        <v>5630</v>
      </c>
    </row>
    <row r="3039" spans="1:1" x14ac:dyDescent="0.25">
      <c r="A3039" s="19" t="s">
        <v>5631</v>
      </c>
    </row>
    <row r="3040" spans="1:1" x14ac:dyDescent="0.25">
      <c r="A3040" s="19" t="s">
        <v>5632</v>
      </c>
    </row>
    <row r="3041" spans="1:1" x14ac:dyDescent="0.25">
      <c r="A3041" s="19" t="s">
        <v>5633</v>
      </c>
    </row>
    <row r="3042" spans="1:1" x14ac:dyDescent="0.25">
      <c r="A3042" s="19" t="s">
        <v>5634</v>
      </c>
    </row>
    <row r="3043" spans="1:1" x14ac:dyDescent="0.25">
      <c r="A3043" s="19" t="s">
        <v>5635</v>
      </c>
    </row>
    <row r="3044" spans="1:1" x14ac:dyDescent="0.25">
      <c r="A3044" s="19" t="s">
        <v>5636</v>
      </c>
    </row>
    <row r="3045" spans="1:1" x14ac:dyDescent="0.25">
      <c r="A3045" s="19" t="s">
        <v>5637</v>
      </c>
    </row>
    <row r="3046" spans="1:1" x14ac:dyDescent="0.25">
      <c r="A3046" s="19" t="s">
        <v>5638</v>
      </c>
    </row>
    <row r="3047" spans="1:1" x14ac:dyDescent="0.25">
      <c r="A3047" s="19" t="s">
        <v>5639</v>
      </c>
    </row>
    <row r="3048" spans="1:1" x14ac:dyDescent="0.25">
      <c r="A3048" s="19" t="s">
        <v>5640</v>
      </c>
    </row>
    <row r="3049" spans="1:1" x14ac:dyDescent="0.25">
      <c r="A3049" s="19" t="s">
        <v>5641</v>
      </c>
    </row>
    <row r="3050" spans="1:1" x14ac:dyDescent="0.25">
      <c r="A3050" s="19" t="s">
        <v>5642</v>
      </c>
    </row>
    <row r="3051" spans="1:1" x14ac:dyDescent="0.25">
      <c r="A3051" s="19" t="s">
        <v>5643</v>
      </c>
    </row>
    <row r="3052" spans="1:1" x14ac:dyDescent="0.25">
      <c r="A3052" s="19" t="s">
        <v>5644</v>
      </c>
    </row>
    <row r="3053" spans="1:1" x14ac:dyDescent="0.25">
      <c r="A3053" s="19" t="s">
        <v>5645</v>
      </c>
    </row>
    <row r="3054" spans="1:1" x14ac:dyDescent="0.25">
      <c r="A3054" s="19" t="s">
        <v>5646</v>
      </c>
    </row>
    <row r="3055" spans="1:1" x14ac:dyDescent="0.25">
      <c r="A3055" s="19" t="s">
        <v>5647</v>
      </c>
    </row>
    <row r="3056" spans="1:1" x14ac:dyDescent="0.25">
      <c r="A3056" s="19" t="s">
        <v>5648</v>
      </c>
    </row>
    <row r="3057" spans="1:1" x14ac:dyDescent="0.25">
      <c r="A3057" s="19" t="s">
        <v>5649</v>
      </c>
    </row>
    <row r="3058" spans="1:1" x14ac:dyDescent="0.25">
      <c r="A3058" s="19" t="s">
        <v>5650</v>
      </c>
    </row>
    <row r="3059" spans="1:1" x14ac:dyDescent="0.25">
      <c r="A3059" s="19" t="s">
        <v>5651</v>
      </c>
    </row>
    <row r="3060" spans="1:1" x14ac:dyDescent="0.25">
      <c r="A3060" s="19" t="s">
        <v>5652</v>
      </c>
    </row>
    <row r="3061" spans="1:1" x14ac:dyDescent="0.25">
      <c r="A3061" s="19" t="s">
        <v>5653</v>
      </c>
    </row>
    <row r="3062" spans="1:1" x14ac:dyDescent="0.25">
      <c r="A3062" s="19" t="s">
        <v>5654</v>
      </c>
    </row>
    <row r="3063" spans="1:1" x14ac:dyDescent="0.25">
      <c r="A3063" s="19" t="s">
        <v>5654</v>
      </c>
    </row>
    <row r="3064" spans="1:1" x14ac:dyDescent="0.25">
      <c r="A3064" s="19" t="s">
        <v>5655</v>
      </c>
    </row>
    <row r="3065" spans="1:1" x14ac:dyDescent="0.25">
      <c r="A3065" s="19" t="s">
        <v>5656</v>
      </c>
    </row>
    <row r="3066" spans="1:1" x14ac:dyDescent="0.25">
      <c r="A3066" s="19" t="s">
        <v>5657</v>
      </c>
    </row>
    <row r="3067" spans="1:1" x14ac:dyDescent="0.25">
      <c r="A3067" s="19" t="s">
        <v>5658</v>
      </c>
    </row>
    <row r="3068" spans="1:1" x14ac:dyDescent="0.25">
      <c r="A3068" s="19" t="s">
        <v>5659</v>
      </c>
    </row>
    <row r="3069" spans="1:1" x14ac:dyDescent="0.25">
      <c r="A3069" s="19" t="s">
        <v>5660</v>
      </c>
    </row>
    <row r="3070" spans="1:1" x14ac:dyDescent="0.25">
      <c r="A3070" s="19" t="s">
        <v>5661</v>
      </c>
    </row>
    <row r="3071" spans="1:1" x14ac:dyDescent="0.25">
      <c r="A3071" s="19" t="s">
        <v>5662</v>
      </c>
    </row>
    <row r="3072" spans="1:1" x14ac:dyDescent="0.25">
      <c r="A3072" s="19" t="s">
        <v>5663</v>
      </c>
    </row>
    <row r="3073" spans="1:1" x14ac:dyDescent="0.25">
      <c r="A3073" s="19" t="s">
        <v>5664</v>
      </c>
    </row>
    <row r="3074" spans="1:1" x14ac:dyDescent="0.25">
      <c r="A3074" s="19" t="s">
        <v>5665</v>
      </c>
    </row>
    <row r="3075" spans="1:1" x14ac:dyDescent="0.25">
      <c r="A3075" s="19" t="s">
        <v>5666</v>
      </c>
    </row>
    <row r="3076" spans="1:1" x14ac:dyDescent="0.25">
      <c r="A3076" s="19" t="s">
        <v>5667</v>
      </c>
    </row>
    <row r="3077" spans="1:1" x14ac:dyDescent="0.25">
      <c r="A3077" s="19" t="s">
        <v>5668</v>
      </c>
    </row>
    <row r="3078" spans="1:1" x14ac:dyDescent="0.25">
      <c r="A3078" s="19" t="s">
        <v>5669</v>
      </c>
    </row>
    <row r="3079" spans="1:1" x14ac:dyDescent="0.25">
      <c r="A3079" s="19" t="s">
        <v>5670</v>
      </c>
    </row>
    <row r="3080" spans="1:1" x14ac:dyDescent="0.25">
      <c r="A3080" s="19" t="s">
        <v>5671</v>
      </c>
    </row>
    <row r="3081" spans="1:1" x14ac:dyDescent="0.25">
      <c r="A3081" s="19" t="s">
        <v>5672</v>
      </c>
    </row>
    <row r="3082" spans="1:1" x14ac:dyDescent="0.25">
      <c r="A3082" s="19" t="s">
        <v>5673</v>
      </c>
    </row>
    <row r="3083" spans="1:1" x14ac:dyDescent="0.25">
      <c r="A3083" s="19" t="s">
        <v>5674</v>
      </c>
    </row>
    <row r="3084" spans="1:1" x14ac:dyDescent="0.25">
      <c r="A3084" s="19" t="s">
        <v>5675</v>
      </c>
    </row>
    <row r="3085" spans="1:1" x14ac:dyDescent="0.25">
      <c r="A3085" s="19" t="s">
        <v>5676</v>
      </c>
    </row>
    <row r="3086" spans="1:1" x14ac:dyDescent="0.25">
      <c r="A3086" s="19" t="s">
        <v>5676</v>
      </c>
    </row>
    <row r="3087" spans="1:1" x14ac:dyDescent="0.25">
      <c r="A3087" s="19" t="s">
        <v>5677</v>
      </c>
    </row>
    <row r="3088" spans="1:1" x14ac:dyDescent="0.25">
      <c r="A3088" s="19" t="s">
        <v>5678</v>
      </c>
    </row>
    <row r="3089" spans="1:1" x14ac:dyDescent="0.25">
      <c r="A3089" s="19" t="s">
        <v>5679</v>
      </c>
    </row>
    <row r="3090" spans="1:1" x14ac:dyDescent="0.25">
      <c r="A3090" s="19" t="s">
        <v>5680</v>
      </c>
    </row>
    <row r="3091" spans="1:1" x14ac:dyDescent="0.25">
      <c r="A3091" s="19" t="s">
        <v>5681</v>
      </c>
    </row>
    <row r="3092" spans="1:1" x14ac:dyDescent="0.25">
      <c r="A3092" s="19" t="s">
        <v>5682</v>
      </c>
    </row>
    <row r="3093" spans="1:1" x14ac:dyDescent="0.25">
      <c r="A3093" s="19" t="s">
        <v>5682</v>
      </c>
    </row>
    <row r="3094" spans="1:1" x14ac:dyDescent="0.25">
      <c r="A3094" s="19" t="s">
        <v>5683</v>
      </c>
    </row>
    <row r="3095" spans="1:1" x14ac:dyDescent="0.25">
      <c r="A3095" s="19" t="s">
        <v>5684</v>
      </c>
    </row>
    <row r="3096" spans="1:1" x14ac:dyDescent="0.25">
      <c r="A3096" s="19" t="s">
        <v>5685</v>
      </c>
    </row>
    <row r="3097" spans="1:1" x14ac:dyDescent="0.25">
      <c r="A3097" s="19" t="s">
        <v>5686</v>
      </c>
    </row>
    <row r="3098" spans="1:1" x14ac:dyDescent="0.25">
      <c r="A3098" s="19" t="s">
        <v>5687</v>
      </c>
    </row>
    <row r="3099" spans="1:1" x14ac:dyDescent="0.25">
      <c r="A3099" s="19" t="s">
        <v>5688</v>
      </c>
    </row>
    <row r="3100" spans="1:1" x14ac:dyDescent="0.25">
      <c r="A3100" s="19" t="s">
        <v>5689</v>
      </c>
    </row>
    <row r="3101" spans="1:1" x14ac:dyDescent="0.25">
      <c r="A3101" s="19" t="s">
        <v>5690</v>
      </c>
    </row>
    <row r="3102" spans="1:1" x14ac:dyDescent="0.25">
      <c r="A3102" s="19" t="s">
        <v>5691</v>
      </c>
    </row>
    <row r="3103" spans="1:1" x14ac:dyDescent="0.25">
      <c r="A3103" s="19" t="s">
        <v>5692</v>
      </c>
    </row>
    <row r="3104" spans="1:1" x14ac:dyDescent="0.25">
      <c r="A3104" s="19" t="s">
        <v>5693</v>
      </c>
    </row>
    <row r="3105" spans="1:1" x14ac:dyDescent="0.25">
      <c r="A3105" s="19" t="s">
        <v>5694</v>
      </c>
    </row>
    <row r="3106" spans="1:1" x14ac:dyDescent="0.25">
      <c r="A3106" s="19" t="s">
        <v>5695</v>
      </c>
    </row>
    <row r="3107" spans="1:1" x14ac:dyDescent="0.25">
      <c r="A3107" s="19" t="s">
        <v>5696</v>
      </c>
    </row>
    <row r="3108" spans="1:1" x14ac:dyDescent="0.25">
      <c r="A3108" s="19" t="s">
        <v>5697</v>
      </c>
    </row>
    <row r="3109" spans="1:1" x14ac:dyDescent="0.25">
      <c r="A3109" s="19" t="s">
        <v>5698</v>
      </c>
    </row>
    <row r="3110" spans="1:1" x14ac:dyDescent="0.25">
      <c r="A3110" s="19" t="s">
        <v>5699</v>
      </c>
    </row>
    <row r="3111" spans="1:1" x14ac:dyDescent="0.25">
      <c r="A3111" s="19" t="s">
        <v>5700</v>
      </c>
    </row>
    <row r="3112" spans="1:1" x14ac:dyDescent="0.25">
      <c r="A3112" s="19" t="s">
        <v>5701</v>
      </c>
    </row>
    <row r="3113" spans="1:1" x14ac:dyDescent="0.25">
      <c r="A3113" s="19" t="s">
        <v>5702</v>
      </c>
    </row>
    <row r="3114" spans="1:1" x14ac:dyDescent="0.25">
      <c r="A3114" s="19" t="s">
        <v>5703</v>
      </c>
    </row>
    <row r="3115" spans="1:1" x14ac:dyDescent="0.25">
      <c r="A3115" s="19" t="s">
        <v>5704</v>
      </c>
    </row>
    <row r="3116" spans="1:1" x14ac:dyDescent="0.25">
      <c r="A3116" s="19" t="s">
        <v>5705</v>
      </c>
    </row>
    <row r="3117" spans="1:1" x14ac:dyDescent="0.25">
      <c r="A3117" s="19" t="s">
        <v>5706</v>
      </c>
    </row>
    <row r="3118" spans="1:1" x14ac:dyDescent="0.25">
      <c r="A3118" s="19" t="s">
        <v>5707</v>
      </c>
    </row>
    <row r="3119" spans="1:1" x14ac:dyDescent="0.25">
      <c r="A3119" s="19" t="s">
        <v>5708</v>
      </c>
    </row>
    <row r="3120" spans="1:1" x14ac:dyDescent="0.25">
      <c r="A3120" s="19" t="s">
        <v>5709</v>
      </c>
    </row>
    <row r="3121" spans="1:1" x14ac:dyDescent="0.25">
      <c r="A3121" s="19" t="s">
        <v>5710</v>
      </c>
    </row>
    <row r="3122" spans="1:1" x14ac:dyDescent="0.25">
      <c r="A3122" s="19" t="s">
        <v>5711</v>
      </c>
    </row>
    <row r="3123" spans="1:1" x14ac:dyDescent="0.25">
      <c r="A3123" s="19" t="s">
        <v>5712</v>
      </c>
    </row>
    <row r="3124" spans="1:1" x14ac:dyDescent="0.25">
      <c r="A3124" s="19" t="s">
        <v>5713</v>
      </c>
    </row>
    <row r="3125" spans="1:1" x14ac:dyDescent="0.25">
      <c r="A3125" s="19" t="s">
        <v>5714</v>
      </c>
    </row>
    <row r="3126" spans="1:1" x14ac:dyDescent="0.25">
      <c r="A3126" s="19" t="s">
        <v>5715</v>
      </c>
    </row>
    <row r="3127" spans="1:1" x14ac:dyDescent="0.25">
      <c r="A3127" s="19" t="s">
        <v>5716</v>
      </c>
    </row>
    <row r="3128" spans="1:1" x14ac:dyDescent="0.25">
      <c r="A3128" s="19" t="s">
        <v>5717</v>
      </c>
    </row>
    <row r="3129" spans="1:1" x14ac:dyDescent="0.25">
      <c r="A3129" s="19" t="s">
        <v>5718</v>
      </c>
    </row>
    <row r="3130" spans="1:1" x14ac:dyDescent="0.25">
      <c r="A3130" s="19" t="s">
        <v>5719</v>
      </c>
    </row>
    <row r="3131" spans="1:1" x14ac:dyDescent="0.25">
      <c r="A3131" s="19" t="s">
        <v>5720</v>
      </c>
    </row>
    <row r="3132" spans="1:1" x14ac:dyDescent="0.25">
      <c r="A3132" s="19" t="s">
        <v>5721</v>
      </c>
    </row>
    <row r="3133" spans="1:1" x14ac:dyDescent="0.25">
      <c r="A3133" s="19" t="s">
        <v>5722</v>
      </c>
    </row>
    <row r="3134" spans="1:1" x14ac:dyDescent="0.25">
      <c r="A3134" s="19" t="s">
        <v>5723</v>
      </c>
    </row>
    <row r="3135" spans="1:1" x14ac:dyDescent="0.25">
      <c r="A3135" s="19" t="s">
        <v>5724</v>
      </c>
    </row>
    <row r="3136" spans="1:1" x14ac:dyDescent="0.25">
      <c r="A3136" s="19" t="s">
        <v>5725</v>
      </c>
    </row>
    <row r="3137" spans="1:1" x14ac:dyDescent="0.25">
      <c r="A3137" s="19" t="s">
        <v>5726</v>
      </c>
    </row>
    <row r="3138" spans="1:1" x14ac:dyDescent="0.25">
      <c r="A3138" s="19" t="s">
        <v>5727</v>
      </c>
    </row>
    <row r="3139" spans="1:1" x14ac:dyDescent="0.25">
      <c r="A3139" s="19" t="s">
        <v>5728</v>
      </c>
    </row>
    <row r="3140" spans="1:1" x14ac:dyDescent="0.25">
      <c r="A3140" s="19" t="s">
        <v>5729</v>
      </c>
    </row>
    <row r="3141" spans="1:1" x14ac:dyDescent="0.25">
      <c r="A3141" s="19" t="s">
        <v>5730</v>
      </c>
    </row>
    <row r="3142" spans="1:1" x14ac:dyDescent="0.25">
      <c r="A3142" s="19" t="s">
        <v>5731</v>
      </c>
    </row>
    <row r="3143" spans="1:1" x14ac:dyDescent="0.25">
      <c r="A3143" s="19" t="s">
        <v>5732</v>
      </c>
    </row>
    <row r="3144" spans="1:1" x14ac:dyDescent="0.25">
      <c r="A3144" s="19" t="s">
        <v>5733</v>
      </c>
    </row>
    <row r="3145" spans="1:1" x14ac:dyDescent="0.25">
      <c r="A3145" s="19" t="s">
        <v>5734</v>
      </c>
    </row>
    <row r="3146" spans="1:1" x14ac:dyDescent="0.25">
      <c r="A3146" s="19" t="s">
        <v>5735</v>
      </c>
    </row>
    <row r="3147" spans="1:1" x14ac:dyDescent="0.25">
      <c r="A3147" s="19" t="s">
        <v>5736</v>
      </c>
    </row>
    <row r="3148" spans="1:1" x14ac:dyDescent="0.25">
      <c r="A3148" s="19" t="s">
        <v>5737</v>
      </c>
    </row>
    <row r="3149" spans="1:1" x14ac:dyDescent="0.25">
      <c r="A3149" s="19" t="s">
        <v>5738</v>
      </c>
    </row>
    <row r="3150" spans="1:1" x14ac:dyDescent="0.25">
      <c r="A3150" s="19" t="s">
        <v>5739</v>
      </c>
    </row>
    <row r="3151" spans="1:1" x14ac:dyDescent="0.25">
      <c r="A3151" s="19" t="s">
        <v>5740</v>
      </c>
    </row>
    <row r="3152" spans="1:1" x14ac:dyDescent="0.25">
      <c r="A3152" s="19" t="s">
        <v>5741</v>
      </c>
    </row>
    <row r="3153" spans="1:1" x14ac:dyDescent="0.25">
      <c r="A3153" s="19" t="s">
        <v>5742</v>
      </c>
    </row>
    <row r="3154" spans="1:1" x14ac:dyDescent="0.25">
      <c r="A3154" s="19" t="s">
        <v>5743</v>
      </c>
    </row>
    <row r="3155" spans="1:1" x14ac:dyDescent="0.25">
      <c r="A3155" s="19" t="s">
        <v>5744</v>
      </c>
    </row>
    <row r="3156" spans="1:1" x14ac:dyDescent="0.25">
      <c r="A3156" s="19" t="s">
        <v>5745</v>
      </c>
    </row>
    <row r="3157" spans="1:1" x14ac:dyDescent="0.25">
      <c r="A3157" s="19" t="s">
        <v>5746</v>
      </c>
    </row>
    <row r="3158" spans="1:1" x14ac:dyDescent="0.25">
      <c r="A3158" s="19" t="s">
        <v>5747</v>
      </c>
    </row>
    <row r="3159" spans="1:1" x14ac:dyDescent="0.25">
      <c r="A3159" s="19" t="s">
        <v>5748</v>
      </c>
    </row>
    <row r="3160" spans="1:1" x14ac:dyDescent="0.25">
      <c r="A3160" s="19" t="s">
        <v>5749</v>
      </c>
    </row>
    <row r="3161" spans="1:1" x14ac:dyDescent="0.25">
      <c r="A3161" s="19" t="s">
        <v>5750</v>
      </c>
    </row>
    <row r="3162" spans="1:1" x14ac:dyDescent="0.25">
      <c r="A3162" s="19" t="s">
        <v>5751</v>
      </c>
    </row>
    <row r="3163" spans="1:1" x14ac:dyDescent="0.25">
      <c r="A3163" s="19" t="s">
        <v>5752</v>
      </c>
    </row>
    <row r="3164" spans="1:1" x14ac:dyDescent="0.25">
      <c r="A3164" s="19" t="s">
        <v>5753</v>
      </c>
    </row>
    <row r="3165" spans="1:1" x14ac:dyDescent="0.25">
      <c r="A3165" s="19" t="s">
        <v>5754</v>
      </c>
    </row>
    <row r="3166" spans="1:1" x14ac:dyDescent="0.25">
      <c r="A3166" s="19" t="s">
        <v>5755</v>
      </c>
    </row>
    <row r="3167" spans="1:1" x14ac:dyDescent="0.25">
      <c r="A3167" s="19" t="s">
        <v>5756</v>
      </c>
    </row>
    <row r="3168" spans="1:1" x14ac:dyDescent="0.25">
      <c r="A3168" s="19" t="s">
        <v>5757</v>
      </c>
    </row>
    <row r="3169" spans="1:1" x14ac:dyDescent="0.25">
      <c r="A3169" s="19" t="s">
        <v>5758</v>
      </c>
    </row>
    <row r="3170" spans="1:1" x14ac:dyDescent="0.25">
      <c r="A3170" s="19" t="s">
        <v>5759</v>
      </c>
    </row>
    <row r="3171" spans="1:1" x14ac:dyDescent="0.25">
      <c r="A3171" s="19" t="s">
        <v>5760</v>
      </c>
    </row>
    <row r="3172" spans="1:1" x14ac:dyDescent="0.25">
      <c r="A3172" s="19" t="s">
        <v>5761</v>
      </c>
    </row>
    <row r="3173" spans="1:1" x14ac:dyDescent="0.25">
      <c r="A3173" s="19" t="s">
        <v>5762</v>
      </c>
    </row>
    <row r="3174" spans="1:1" x14ac:dyDescent="0.25">
      <c r="A3174" s="19" t="s">
        <v>5763</v>
      </c>
    </row>
    <row r="3175" spans="1:1" x14ac:dyDescent="0.25">
      <c r="A3175" s="19" t="s">
        <v>5764</v>
      </c>
    </row>
    <row r="3176" spans="1:1" x14ac:dyDescent="0.25">
      <c r="A3176" s="19" t="s">
        <v>5765</v>
      </c>
    </row>
    <row r="3177" spans="1:1" x14ac:dyDescent="0.25">
      <c r="A3177" s="19" t="s">
        <v>5766</v>
      </c>
    </row>
    <row r="3178" spans="1:1" x14ac:dyDescent="0.25">
      <c r="A3178" s="19" t="s">
        <v>5767</v>
      </c>
    </row>
    <row r="3179" spans="1:1" x14ac:dyDescent="0.25">
      <c r="A3179" s="19" t="s">
        <v>5768</v>
      </c>
    </row>
    <row r="3180" spans="1:1" x14ac:dyDescent="0.25">
      <c r="A3180" s="19" t="s">
        <v>5769</v>
      </c>
    </row>
    <row r="3181" spans="1:1" x14ac:dyDescent="0.25">
      <c r="A3181" s="19" t="s">
        <v>5770</v>
      </c>
    </row>
    <row r="3182" spans="1:1" x14ac:dyDescent="0.25">
      <c r="A3182" s="19" t="s">
        <v>5771</v>
      </c>
    </row>
    <row r="3183" spans="1:1" x14ac:dyDescent="0.25">
      <c r="A3183" s="19" t="s">
        <v>5772</v>
      </c>
    </row>
    <row r="3184" spans="1:1" x14ac:dyDescent="0.25">
      <c r="A3184" s="19" t="s">
        <v>5773</v>
      </c>
    </row>
    <row r="3185" spans="1:1" x14ac:dyDescent="0.25">
      <c r="A3185" s="19" t="s">
        <v>5774</v>
      </c>
    </row>
    <row r="3186" spans="1:1" x14ac:dyDescent="0.25">
      <c r="A3186" s="19" t="s">
        <v>5775</v>
      </c>
    </row>
    <row r="3187" spans="1:1" x14ac:dyDescent="0.25">
      <c r="A3187" s="19" t="s">
        <v>5776</v>
      </c>
    </row>
    <row r="3188" spans="1:1" x14ac:dyDescent="0.25">
      <c r="A3188" s="19" t="s">
        <v>5777</v>
      </c>
    </row>
    <row r="3189" spans="1:1" x14ac:dyDescent="0.25">
      <c r="A3189" s="19" t="s">
        <v>5778</v>
      </c>
    </row>
    <row r="3190" spans="1:1" x14ac:dyDescent="0.25">
      <c r="A3190" s="19" t="s">
        <v>5779</v>
      </c>
    </row>
    <row r="3191" spans="1:1" x14ac:dyDescent="0.25">
      <c r="A3191" s="19" t="s">
        <v>5780</v>
      </c>
    </row>
    <row r="3192" spans="1:1" x14ac:dyDescent="0.25">
      <c r="A3192" s="19" t="s">
        <v>5781</v>
      </c>
    </row>
    <row r="3193" spans="1:1" x14ac:dyDescent="0.25">
      <c r="A3193" s="19" t="s">
        <v>5782</v>
      </c>
    </row>
    <row r="3194" spans="1:1" x14ac:dyDescent="0.25">
      <c r="A3194" s="19" t="s">
        <v>5783</v>
      </c>
    </row>
    <row r="3195" spans="1:1" x14ac:dyDescent="0.25">
      <c r="A3195" s="19" t="s">
        <v>5784</v>
      </c>
    </row>
    <row r="3196" spans="1:1" x14ac:dyDescent="0.25">
      <c r="A3196" s="19" t="s">
        <v>5785</v>
      </c>
    </row>
    <row r="3197" spans="1:1" x14ac:dyDescent="0.25">
      <c r="A3197" s="19" t="s">
        <v>5786</v>
      </c>
    </row>
    <row r="3198" spans="1:1" x14ac:dyDescent="0.25">
      <c r="A3198" s="19" t="s">
        <v>5787</v>
      </c>
    </row>
    <row r="3199" spans="1:1" x14ac:dyDescent="0.25">
      <c r="A3199" s="19" t="s">
        <v>5788</v>
      </c>
    </row>
    <row r="3200" spans="1:1" x14ac:dyDescent="0.25">
      <c r="A3200" s="19" t="s">
        <v>5789</v>
      </c>
    </row>
    <row r="3201" spans="1:1" x14ac:dyDescent="0.25">
      <c r="A3201" s="19" t="s">
        <v>5790</v>
      </c>
    </row>
    <row r="3202" spans="1:1" x14ac:dyDescent="0.25">
      <c r="A3202" s="19" t="s">
        <v>5791</v>
      </c>
    </row>
    <row r="3203" spans="1:1" x14ac:dyDescent="0.25">
      <c r="A3203" s="19" t="s">
        <v>5792</v>
      </c>
    </row>
    <row r="3204" spans="1:1" x14ac:dyDescent="0.25">
      <c r="A3204" s="19" t="s">
        <v>5793</v>
      </c>
    </row>
    <row r="3205" spans="1:1" x14ac:dyDescent="0.25">
      <c r="A3205" s="19" t="s">
        <v>5794</v>
      </c>
    </row>
    <row r="3206" spans="1:1" x14ac:dyDescent="0.25">
      <c r="A3206" s="19" t="s">
        <v>5795</v>
      </c>
    </row>
    <row r="3207" spans="1:1" x14ac:dyDescent="0.25">
      <c r="A3207" s="19" t="s">
        <v>5796</v>
      </c>
    </row>
    <row r="3208" spans="1:1" x14ac:dyDescent="0.25">
      <c r="A3208" s="19" t="s">
        <v>5797</v>
      </c>
    </row>
    <row r="3209" spans="1:1" x14ac:dyDescent="0.25">
      <c r="A3209" s="19" t="s">
        <v>5798</v>
      </c>
    </row>
    <row r="3210" spans="1:1" x14ac:dyDescent="0.25">
      <c r="A3210" s="19" t="s">
        <v>5799</v>
      </c>
    </row>
    <row r="3211" spans="1:1" x14ac:dyDescent="0.25">
      <c r="A3211" s="19" t="s">
        <v>5800</v>
      </c>
    </row>
    <row r="3212" spans="1:1" x14ac:dyDescent="0.25">
      <c r="A3212" s="19" t="s">
        <v>5801</v>
      </c>
    </row>
    <row r="3213" spans="1:1" x14ac:dyDescent="0.25">
      <c r="A3213" s="19" t="s">
        <v>5802</v>
      </c>
    </row>
    <row r="3214" spans="1:1" x14ac:dyDescent="0.25">
      <c r="A3214" s="19" t="s">
        <v>5803</v>
      </c>
    </row>
    <row r="3215" spans="1:1" x14ac:dyDescent="0.25">
      <c r="A3215" s="19" t="s">
        <v>5804</v>
      </c>
    </row>
    <row r="3216" spans="1:1" x14ac:dyDescent="0.25">
      <c r="A3216" s="19" t="s">
        <v>5805</v>
      </c>
    </row>
    <row r="3217" spans="1:1" x14ac:dyDescent="0.25">
      <c r="A3217" s="19" t="s">
        <v>5806</v>
      </c>
    </row>
    <row r="3218" spans="1:1" x14ac:dyDescent="0.25">
      <c r="A3218" s="19" t="s">
        <v>5807</v>
      </c>
    </row>
    <row r="3219" spans="1:1" x14ac:dyDescent="0.25">
      <c r="A3219" s="19" t="s">
        <v>5808</v>
      </c>
    </row>
    <row r="3220" spans="1:1" x14ac:dyDescent="0.25">
      <c r="A3220" s="19" t="s">
        <v>5809</v>
      </c>
    </row>
    <row r="3221" spans="1:1" x14ac:dyDescent="0.25">
      <c r="A3221" s="19" t="s">
        <v>5810</v>
      </c>
    </row>
    <row r="3222" spans="1:1" x14ac:dyDescent="0.25">
      <c r="A3222" s="19" t="s">
        <v>5811</v>
      </c>
    </row>
    <row r="3223" spans="1:1" x14ac:dyDescent="0.25">
      <c r="A3223" s="19" t="s">
        <v>5812</v>
      </c>
    </row>
    <row r="3224" spans="1:1" x14ac:dyDescent="0.25">
      <c r="A3224" s="19" t="s">
        <v>5813</v>
      </c>
    </row>
    <row r="3225" spans="1:1" x14ac:dyDescent="0.25">
      <c r="A3225" s="19" t="s">
        <v>5814</v>
      </c>
    </row>
    <row r="3226" spans="1:1" x14ac:dyDescent="0.25">
      <c r="A3226" s="19" t="s">
        <v>5815</v>
      </c>
    </row>
    <row r="3227" spans="1:1" x14ac:dyDescent="0.25">
      <c r="A3227" s="19" t="s">
        <v>5816</v>
      </c>
    </row>
    <row r="3228" spans="1:1" x14ac:dyDescent="0.25">
      <c r="A3228" s="19" t="s">
        <v>5817</v>
      </c>
    </row>
    <row r="3229" spans="1:1" x14ac:dyDescent="0.25">
      <c r="A3229" s="19" t="s">
        <v>5818</v>
      </c>
    </row>
    <row r="3230" spans="1:1" x14ac:dyDescent="0.25">
      <c r="A3230" s="19" t="s">
        <v>5819</v>
      </c>
    </row>
    <row r="3231" spans="1:1" x14ac:dyDescent="0.25">
      <c r="A3231" s="19" t="s">
        <v>5820</v>
      </c>
    </row>
    <row r="3232" spans="1:1" x14ac:dyDescent="0.25">
      <c r="A3232" s="19" t="s">
        <v>5821</v>
      </c>
    </row>
    <row r="3233" spans="1:1" x14ac:dyDescent="0.25">
      <c r="A3233" s="19" t="s">
        <v>5822</v>
      </c>
    </row>
    <row r="3234" spans="1:1" x14ac:dyDescent="0.25">
      <c r="A3234" s="19" t="s">
        <v>5823</v>
      </c>
    </row>
    <row r="3235" spans="1:1" x14ac:dyDescent="0.25">
      <c r="A3235" s="19" t="s">
        <v>5824</v>
      </c>
    </row>
    <row r="3236" spans="1:1" x14ac:dyDescent="0.25">
      <c r="A3236" s="19" t="s">
        <v>5825</v>
      </c>
    </row>
    <row r="3237" spans="1:1" x14ac:dyDescent="0.25">
      <c r="A3237" s="19" t="s">
        <v>5826</v>
      </c>
    </row>
    <row r="3238" spans="1:1" x14ac:dyDescent="0.25">
      <c r="A3238" s="19" t="s">
        <v>5827</v>
      </c>
    </row>
    <row r="3239" spans="1:1" x14ac:dyDescent="0.25">
      <c r="A3239" s="19" t="s">
        <v>5828</v>
      </c>
    </row>
    <row r="3240" spans="1:1" x14ac:dyDescent="0.25">
      <c r="A3240" s="19" t="s">
        <v>5829</v>
      </c>
    </row>
    <row r="3241" spans="1:1" x14ac:dyDescent="0.25">
      <c r="A3241" s="19" t="s">
        <v>5830</v>
      </c>
    </row>
    <row r="3242" spans="1:1" x14ac:dyDescent="0.25">
      <c r="A3242" s="19" t="s">
        <v>5831</v>
      </c>
    </row>
    <row r="3243" spans="1:1" x14ac:dyDescent="0.25">
      <c r="A3243" s="19" t="s">
        <v>5832</v>
      </c>
    </row>
    <row r="3244" spans="1:1" x14ac:dyDescent="0.25">
      <c r="A3244" s="19" t="s">
        <v>5833</v>
      </c>
    </row>
    <row r="3245" spans="1:1" x14ac:dyDescent="0.25">
      <c r="A3245" s="19" t="s">
        <v>5834</v>
      </c>
    </row>
    <row r="3246" spans="1:1" x14ac:dyDescent="0.25">
      <c r="A3246" s="19" t="s">
        <v>5835</v>
      </c>
    </row>
    <row r="3247" spans="1:1" x14ac:dyDescent="0.25">
      <c r="A3247" s="19" t="s">
        <v>5836</v>
      </c>
    </row>
    <row r="3248" spans="1:1" x14ac:dyDescent="0.25">
      <c r="A3248" s="19" t="s">
        <v>5837</v>
      </c>
    </row>
    <row r="3249" spans="1:1" x14ac:dyDescent="0.25">
      <c r="A3249" s="19" t="s">
        <v>5838</v>
      </c>
    </row>
    <row r="3250" spans="1:1" x14ac:dyDescent="0.25">
      <c r="A3250" s="19" t="s">
        <v>5839</v>
      </c>
    </row>
    <row r="3251" spans="1:1" x14ac:dyDescent="0.25">
      <c r="A3251" s="19" t="s">
        <v>5840</v>
      </c>
    </row>
    <row r="3252" spans="1:1" x14ac:dyDescent="0.25">
      <c r="A3252" s="19" t="s">
        <v>5841</v>
      </c>
    </row>
    <row r="3253" spans="1:1" x14ac:dyDescent="0.25">
      <c r="A3253" s="19" t="s">
        <v>5842</v>
      </c>
    </row>
    <row r="3254" spans="1:1" x14ac:dyDescent="0.25">
      <c r="A3254" s="19" t="s">
        <v>5842</v>
      </c>
    </row>
    <row r="3255" spans="1:1" x14ac:dyDescent="0.25">
      <c r="A3255" s="19" t="s">
        <v>5843</v>
      </c>
    </row>
    <row r="3256" spans="1:1" x14ac:dyDescent="0.25">
      <c r="A3256" s="19" t="s">
        <v>5844</v>
      </c>
    </row>
    <row r="3257" spans="1:1" x14ac:dyDescent="0.25">
      <c r="A3257" s="19" t="s">
        <v>5845</v>
      </c>
    </row>
    <row r="3258" spans="1:1" x14ac:dyDescent="0.25">
      <c r="A3258" s="19" t="s">
        <v>5846</v>
      </c>
    </row>
    <row r="3259" spans="1:1" x14ac:dyDescent="0.25">
      <c r="A3259" s="19" t="s">
        <v>5847</v>
      </c>
    </row>
    <row r="3260" spans="1:1" x14ac:dyDescent="0.25">
      <c r="A3260" s="19" t="s">
        <v>5848</v>
      </c>
    </row>
    <row r="3261" spans="1:1" x14ac:dyDescent="0.25">
      <c r="A3261" s="19" t="s">
        <v>5849</v>
      </c>
    </row>
    <row r="3262" spans="1:1" x14ac:dyDescent="0.25">
      <c r="A3262" s="19" t="s">
        <v>5850</v>
      </c>
    </row>
    <row r="3263" spans="1:1" x14ac:dyDescent="0.25">
      <c r="A3263" s="19" t="s">
        <v>5851</v>
      </c>
    </row>
    <row r="3264" spans="1:1" x14ac:dyDescent="0.25">
      <c r="A3264" s="19" t="s">
        <v>5852</v>
      </c>
    </row>
    <row r="3265" spans="1:1" x14ac:dyDescent="0.25">
      <c r="A3265" s="19" t="s">
        <v>5853</v>
      </c>
    </row>
    <row r="3266" spans="1:1" x14ac:dyDescent="0.25">
      <c r="A3266" s="19" t="s">
        <v>5854</v>
      </c>
    </row>
    <row r="3267" spans="1:1" x14ac:dyDescent="0.25">
      <c r="A3267" s="19" t="s">
        <v>5855</v>
      </c>
    </row>
    <row r="3268" spans="1:1" x14ac:dyDescent="0.25">
      <c r="A3268" s="19" t="s">
        <v>5856</v>
      </c>
    </row>
    <row r="3269" spans="1:1" x14ac:dyDescent="0.25">
      <c r="A3269" s="19" t="s">
        <v>5857</v>
      </c>
    </row>
    <row r="3270" spans="1:1" x14ac:dyDescent="0.25">
      <c r="A3270" s="19" t="s">
        <v>5858</v>
      </c>
    </row>
    <row r="3271" spans="1:1" x14ac:dyDescent="0.25">
      <c r="A3271" s="19" t="s">
        <v>5859</v>
      </c>
    </row>
    <row r="3272" spans="1:1" x14ac:dyDescent="0.25">
      <c r="A3272" s="19" t="s">
        <v>5860</v>
      </c>
    </row>
    <row r="3273" spans="1:1" x14ac:dyDescent="0.25">
      <c r="A3273" s="19" t="s">
        <v>5861</v>
      </c>
    </row>
    <row r="3274" spans="1:1" x14ac:dyDescent="0.25">
      <c r="A3274" s="19" t="s">
        <v>5862</v>
      </c>
    </row>
    <row r="3275" spans="1:1" x14ac:dyDescent="0.25">
      <c r="A3275" s="19" t="s">
        <v>5863</v>
      </c>
    </row>
    <row r="3276" spans="1:1" x14ac:dyDescent="0.25">
      <c r="A3276" s="19" t="s">
        <v>5864</v>
      </c>
    </row>
    <row r="3277" spans="1:1" x14ac:dyDescent="0.25">
      <c r="A3277" s="19" t="s">
        <v>5865</v>
      </c>
    </row>
    <row r="3278" spans="1:1" x14ac:dyDescent="0.25">
      <c r="A3278" s="19" t="s">
        <v>5866</v>
      </c>
    </row>
    <row r="3279" spans="1:1" x14ac:dyDescent="0.25">
      <c r="A3279" s="19" t="s">
        <v>5867</v>
      </c>
    </row>
    <row r="3280" spans="1:1" x14ac:dyDescent="0.25">
      <c r="A3280" s="19" t="s">
        <v>5868</v>
      </c>
    </row>
    <row r="3281" spans="1:1" x14ac:dyDescent="0.25">
      <c r="A3281" s="19" t="s">
        <v>5869</v>
      </c>
    </row>
    <row r="3282" spans="1:1" x14ac:dyDescent="0.25">
      <c r="A3282" s="19" t="s">
        <v>5870</v>
      </c>
    </row>
    <row r="3283" spans="1:1" x14ac:dyDescent="0.25">
      <c r="A3283" s="19" t="s">
        <v>5871</v>
      </c>
    </row>
    <row r="3284" spans="1:1" x14ac:dyDescent="0.25">
      <c r="A3284" s="19" t="s">
        <v>5872</v>
      </c>
    </row>
    <row r="3285" spans="1:1" x14ac:dyDescent="0.25">
      <c r="A3285" s="19" t="s">
        <v>5873</v>
      </c>
    </row>
    <row r="3286" spans="1:1" x14ac:dyDescent="0.25">
      <c r="A3286" s="19" t="s">
        <v>5874</v>
      </c>
    </row>
    <row r="3287" spans="1:1" x14ac:dyDescent="0.25">
      <c r="A3287" s="19" t="s">
        <v>5875</v>
      </c>
    </row>
    <row r="3288" spans="1:1" x14ac:dyDescent="0.25">
      <c r="A3288" s="19" t="s">
        <v>5876</v>
      </c>
    </row>
    <row r="3289" spans="1:1" x14ac:dyDescent="0.25">
      <c r="A3289" s="19" t="s">
        <v>5877</v>
      </c>
    </row>
    <row r="3290" spans="1:1" x14ac:dyDescent="0.25">
      <c r="A3290" s="19" t="s">
        <v>5878</v>
      </c>
    </row>
    <row r="3291" spans="1:1" x14ac:dyDescent="0.25">
      <c r="A3291" s="19" t="s">
        <v>5879</v>
      </c>
    </row>
    <row r="3292" spans="1:1" x14ac:dyDescent="0.25">
      <c r="A3292" s="19" t="s">
        <v>5880</v>
      </c>
    </row>
    <row r="3293" spans="1:1" x14ac:dyDescent="0.25">
      <c r="A3293" s="19" t="s">
        <v>5881</v>
      </c>
    </row>
    <row r="3294" spans="1:1" x14ac:dyDescent="0.25">
      <c r="A3294" s="19" t="s">
        <v>5882</v>
      </c>
    </row>
    <row r="3295" spans="1:1" x14ac:dyDescent="0.25">
      <c r="A3295" s="19" t="s">
        <v>5883</v>
      </c>
    </row>
    <row r="3296" spans="1:1" x14ac:dyDescent="0.25">
      <c r="A3296" s="19" t="s">
        <v>5884</v>
      </c>
    </row>
    <row r="3297" spans="1:1" x14ac:dyDescent="0.25">
      <c r="A3297" s="19" t="s">
        <v>5885</v>
      </c>
    </row>
    <row r="3298" spans="1:1" x14ac:dyDescent="0.25">
      <c r="A3298" s="19" t="s">
        <v>5886</v>
      </c>
    </row>
    <row r="3299" spans="1:1" x14ac:dyDescent="0.25">
      <c r="A3299" s="19" t="s">
        <v>5887</v>
      </c>
    </row>
    <row r="3300" spans="1:1" x14ac:dyDescent="0.25">
      <c r="A3300" s="19" t="s">
        <v>5888</v>
      </c>
    </row>
    <row r="3301" spans="1:1" x14ac:dyDescent="0.25">
      <c r="A3301" s="19" t="s">
        <v>5889</v>
      </c>
    </row>
    <row r="3302" spans="1:1" x14ac:dyDescent="0.25">
      <c r="A3302" s="19" t="s">
        <v>5890</v>
      </c>
    </row>
    <row r="3303" spans="1:1" x14ac:dyDescent="0.25">
      <c r="A3303" s="19" t="s">
        <v>5891</v>
      </c>
    </row>
    <row r="3304" spans="1:1" x14ac:dyDescent="0.25">
      <c r="A3304" s="19" t="s">
        <v>5892</v>
      </c>
    </row>
    <row r="3305" spans="1:1" x14ac:dyDescent="0.25">
      <c r="A3305" s="19" t="s">
        <v>5893</v>
      </c>
    </row>
    <row r="3306" spans="1:1" x14ac:dyDescent="0.25">
      <c r="A3306" s="19" t="s">
        <v>5894</v>
      </c>
    </row>
    <row r="3307" spans="1:1" x14ac:dyDescent="0.25">
      <c r="A3307" s="19" t="s">
        <v>5895</v>
      </c>
    </row>
    <row r="3308" spans="1:1" x14ac:dyDescent="0.25">
      <c r="A3308" s="19" t="s">
        <v>5896</v>
      </c>
    </row>
    <row r="3309" spans="1:1" x14ac:dyDescent="0.25">
      <c r="A3309" s="19" t="s">
        <v>5897</v>
      </c>
    </row>
    <row r="3310" spans="1:1" x14ac:dyDescent="0.25">
      <c r="A3310" s="19" t="s">
        <v>5898</v>
      </c>
    </row>
    <row r="3311" spans="1:1" x14ac:dyDescent="0.25">
      <c r="A3311" s="19" t="s">
        <v>5899</v>
      </c>
    </row>
    <row r="3312" spans="1:1" x14ac:dyDescent="0.25">
      <c r="A3312" s="19" t="s">
        <v>5900</v>
      </c>
    </row>
    <row r="3313" spans="1:1" x14ac:dyDescent="0.25">
      <c r="A3313" s="19" t="s">
        <v>5901</v>
      </c>
    </row>
    <row r="3314" spans="1:1" x14ac:dyDescent="0.25">
      <c r="A3314" s="19" t="s">
        <v>5902</v>
      </c>
    </row>
    <row r="3315" spans="1:1" x14ac:dyDescent="0.25">
      <c r="A3315" s="19" t="s">
        <v>5903</v>
      </c>
    </row>
    <row r="3316" spans="1:1" x14ac:dyDescent="0.25">
      <c r="A3316" s="19" t="s">
        <v>5904</v>
      </c>
    </row>
    <row r="3317" spans="1:1" x14ac:dyDescent="0.25">
      <c r="A3317" s="19" t="s">
        <v>5905</v>
      </c>
    </row>
    <row r="3318" spans="1:1" x14ac:dyDescent="0.25">
      <c r="A3318" s="19" t="s">
        <v>5906</v>
      </c>
    </row>
    <row r="3319" spans="1:1" x14ac:dyDescent="0.25">
      <c r="A3319" s="19" t="s">
        <v>5907</v>
      </c>
    </row>
    <row r="3320" spans="1:1" x14ac:dyDescent="0.25">
      <c r="A3320" s="19" t="s">
        <v>5908</v>
      </c>
    </row>
    <row r="3321" spans="1:1" x14ac:dyDescent="0.25">
      <c r="A3321" s="19" t="s">
        <v>5909</v>
      </c>
    </row>
    <row r="3322" spans="1:1" x14ac:dyDescent="0.25">
      <c r="A3322" s="19" t="s">
        <v>5910</v>
      </c>
    </row>
    <row r="3323" spans="1:1" x14ac:dyDescent="0.25">
      <c r="A3323" s="19" t="s">
        <v>5911</v>
      </c>
    </row>
    <row r="3324" spans="1:1" x14ac:dyDescent="0.25">
      <c r="A3324" s="19" t="s">
        <v>5912</v>
      </c>
    </row>
    <row r="3325" spans="1:1" x14ac:dyDescent="0.25">
      <c r="A3325" s="19" t="s">
        <v>5913</v>
      </c>
    </row>
    <row r="3326" spans="1:1" x14ac:dyDescent="0.25">
      <c r="A3326" s="19" t="s">
        <v>5914</v>
      </c>
    </row>
    <row r="3327" spans="1:1" x14ac:dyDescent="0.25">
      <c r="A3327" s="19" t="s">
        <v>5915</v>
      </c>
    </row>
    <row r="3328" spans="1:1" x14ac:dyDescent="0.25">
      <c r="A3328" s="19" t="s">
        <v>5916</v>
      </c>
    </row>
    <row r="3329" spans="1:1" x14ac:dyDescent="0.25">
      <c r="A3329" s="19" t="s">
        <v>5917</v>
      </c>
    </row>
    <row r="3330" spans="1:1" x14ac:dyDescent="0.25">
      <c r="A3330" s="19" t="s">
        <v>5918</v>
      </c>
    </row>
    <row r="3331" spans="1:1" x14ac:dyDescent="0.25">
      <c r="A3331" s="19" t="s">
        <v>5919</v>
      </c>
    </row>
    <row r="3332" spans="1:1" x14ac:dyDescent="0.25">
      <c r="A3332" s="19" t="s">
        <v>5920</v>
      </c>
    </row>
    <row r="3333" spans="1:1" x14ac:dyDescent="0.25">
      <c r="A3333" s="19" t="s">
        <v>5921</v>
      </c>
    </row>
    <row r="3334" spans="1:1" x14ac:dyDescent="0.25">
      <c r="A3334" s="19" t="s">
        <v>5922</v>
      </c>
    </row>
    <row r="3335" spans="1:1" x14ac:dyDescent="0.25">
      <c r="A3335" s="19" t="s">
        <v>5923</v>
      </c>
    </row>
    <row r="3336" spans="1:1" x14ac:dyDescent="0.25">
      <c r="A3336" s="19" t="s">
        <v>5924</v>
      </c>
    </row>
    <row r="3337" spans="1:1" x14ac:dyDescent="0.25">
      <c r="A3337" s="19" t="s">
        <v>5925</v>
      </c>
    </row>
    <row r="3338" spans="1:1" x14ac:dyDescent="0.25">
      <c r="A3338" s="19" t="s">
        <v>5926</v>
      </c>
    </row>
    <row r="3339" spans="1:1" x14ac:dyDescent="0.25">
      <c r="A3339" s="19" t="s">
        <v>5927</v>
      </c>
    </row>
    <row r="3340" spans="1:1" x14ac:dyDescent="0.25">
      <c r="A3340" s="19" t="s">
        <v>5928</v>
      </c>
    </row>
    <row r="3341" spans="1:1" x14ac:dyDescent="0.25">
      <c r="A3341" s="19" t="s">
        <v>5929</v>
      </c>
    </row>
    <row r="3342" spans="1:1" x14ac:dyDescent="0.25">
      <c r="A3342" s="19" t="s">
        <v>5930</v>
      </c>
    </row>
    <row r="3343" spans="1:1" x14ac:dyDescent="0.25">
      <c r="A3343" s="19" t="s">
        <v>5931</v>
      </c>
    </row>
    <row r="3344" spans="1:1" x14ac:dyDescent="0.25">
      <c r="A3344" s="19" t="s">
        <v>5932</v>
      </c>
    </row>
    <row r="3345" spans="1:1" x14ac:dyDescent="0.25">
      <c r="A3345" s="19" t="s">
        <v>5933</v>
      </c>
    </row>
    <row r="3346" spans="1:1" x14ac:dyDescent="0.25">
      <c r="A3346" s="19" t="s">
        <v>5934</v>
      </c>
    </row>
    <row r="3347" spans="1:1" x14ac:dyDescent="0.25">
      <c r="A3347" s="19" t="s">
        <v>5935</v>
      </c>
    </row>
    <row r="3348" spans="1:1" x14ac:dyDescent="0.25">
      <c r="A3348" s="19" t="s">
        <v>5936</v>
      </c>
    </row>
    <row r="3349" spans="1:1" x14ac:dyDescent="0.25">
      <c r="A3349" s="19" t="s">
        <v>5937</v>
      </c>
    </row>
    <row r="3350" spans="1:1" x14ac:dyDescent="0.25">
      <c r="A3350" s="19" t="s">
        <v>5938</v>
      </c>
    </row>
    <row r="3351" spans="1:1" x14ac:dyDescent="0.25">
      <c r="A3351" s="19" t="s">
        <v>5939</v>
      </c>
    </row>
    <row r="3352" spans="1:1" x14ac:dyDescent="0.25">
      <c r="A3352" s="19" t="s">
        <v>5940</v>
      </c>
    </row>
    <row r="3353" spans="1:1" x14ac:dyDescent="0.25">
      <c r="A3353" s="19" t="s">
        <v>5941</v>
      </c>
    </row>
    <row r="3354" spans="1:1" x14ac:dyDescent="0.25">
      <c r="A3354" s="19" t="s">
        <v>5942</v>
      </c>
    </row>
    <row r="3355" spans="1:1" x14ac:dyDescent="0.25">
      <c r="A3355" s="19" t="s">
        <v>5943</v>
      </c>
    </row>
    <row r="3356" spans="1:1" x14ac:dyDescent="0.25">
      <c r="A3356" s="19" t="s">
        <v>5944</v>
      </c>
    </row>
    <row r="3357" spans="1:1" x14ac:dyDescent="0.25">
      <c r="A3357" s="19" t="s">
        <v>5945</v>
      </c>
    </row>
    <row r="3358" spans="1:1" x14ac:dyDescent="0.25">
      <c r="A3358" s="19" t="s">
        <v>5946</v>
      </c>
    </row>
    <row r="3359" spans="1:1" x14ac:dyDescent="0.25">
      <c r="A3359" s="19" t="s">
        <v>5947</v>
      </c>
    </row>
    <row r="3360" spans="1:1" x14ac:dyDescent="0.25">
      <c r="A3360" s="19" t="s">
        <v>5948</v>
      </c>
    </row>
    <row r="3361" spans="1:1" x14ac:dyDescent="0.25">
      <c r="A3361" s="19" t="s">
        <v>5949</v>
      </c>
    </row>
    <row r="3362" spans="1:1" x14ac:dyDescent="0.25">
      <c r="A3362" s="19" t="s">
        <v>5950</v>
      </c>
    </row>
    <row r="3363" spans="1:1" x14ac:dyDescent="0.25">
      <c r="A3363" s="19" t="s">
        <v>5951</v>
      </c>
    </row>
    <row r="3364" spans="1:1" x14ac:dyDescent="0.25">
      <c r="A3364" s="19" t="s">
        <v>5952</v>
      </c>
    </row>
    <row r="3365" spans="1:1" x14ac:dyDescent="0.25">
      <c r="A3365" s="19" t="s">
        <v>5953</v>
      </c>
    </row>
    <row r="3366" spans="1:1" x14ac:dyDescent="0.25">
      <c r="A3366" s="19" t="s">
        <v>5954</v>
      </c>
    </row>
    <row r="3367" spans="1:1" x14ac:dyDescent="0.25">
      <c r="A3367" s="19" t="s">
        <v>5955</v>
      </c>
    </row>
    <row r="3368" spans="1:1" x14ac:dyDescent="0.25">
      <c r="A3368" s="19" t="s">
        <v>5956</v>
      </c>
    </row>
    <row r="3369" spans="1:1" x14ac:dyDescent="0.25">
      <c r="A3369" s="19" t="s">
        <v>5957</v>
      </c>
    </row>
    <row r="3370" spans="1:1" x14ac:dyDescent="0.25">
      <c r="A3370" s="19" t="s">
        <v>5958</v>
      </c>
    </row>
    <row r="3371" spans="1:1" x14ac:dyDescent="0.25">
      <c r="A3371" s="19" t="s">
        <v>5959</v>
      </c>
    </row>
    <row r="3372" spans="1:1" x14ac:dyDescent="0.25">
      <c r="A3372" s="19" t="s">
        <v>5960</v>
      </c>
    </row>
    <row r="3373" spans="1:1" x14ac:dyDescent="0.25">
      <c r="A3373" s="19" t="s">
        <v>5961</v>
      </c>
    </row>
    <row r="3374" spans="1:1" x14ac:dyDescent="0.25">
      <c r="A3374" s="19" t="s">
        <v>5962</v>
      </c>
    </row>
    <row r="3375" spans="1:1" x14ac:dyDescent="0.25">
      <c r="A3375" s="19" t="s">
        <v>5963</v>
      </c>
    </row>
    <row r="3376" spans="1:1" x14ac:dyDescent="0.25">
      <c r="A3376" s="19" t="s">
        <v>5964</v>
      </c>
    </row>
    <row r="3377" spans="1:1" x14ac:dyDescent="0.25">
      <c r="A3377" s="19" t="s">
        <v>5965</v>
      </c>
    </row>
    <row r="3378" spans="1:1" x14ac:dyDescent="0.25">
      <c r="A3378" s="19" t="s">
        <v>5966</v>
      </c>
    </row>
    <row r="3379" spans="1:1" x14ac:dyDescent="0.25">
      <c r="A3379" s="19" t="s">
        <v>5967</v>
      </c>
    </row>
    <row r="3380" spans="1:1" x14ac:dyDescent="0.25">
      <c r="A3380" s="19" t="s">
        <v>5967</v>
      </c>
    </row>
    <row r="3381" spans="1:1" x14ac:dyDescent="0.25">
      <c r="A3381" s="19" t="s">
        <v>5968</v>
      </c>
    </row>
    <row r="3382" spans="1:1" x14ac:dyDescent="0.25">
      <c r="A3382" s="19" t="s">
        <v>5969</v>
      </c>
    </row>
    <row r="3383" spans="1:1" x14ac:dyDescent="0.25">
      <c r="A3383" s="19" t="s">
        <v>5970</v>
      </c>
    </row>
    <row r="3384" spans="1:1" x14ac:dyDescent="0.25">
      <c r="A3384" s="19" t="s">
        <v>5971</v>
      </c>
    </row>
    <row r="3385" spans="1:1" x14ac:dyDescent="0.25">
      <c r="A3385" s="19" t="s">
        <v>5972</v>
      </c>
    </row>
    <row r="3386" spans="1:1" x14ac:dyDescent="0.25">
      <c r="A3386" s="19" t="s">
        <v>5973</v>
      </c>
    </row>
    <row r="3387" spans="1:1" x14ac:dyDescent="0.25">
      <c r="A3387" s="19" t="s">
        <v>5974</v>
      </c>
    </row>
    <row r="3388" spans="1:1" x14ac:dyDescent="0.25">
      <c r="A3388" s="19" t="s">
        <v>5975</v>
      </c>
    </row>
    <row r="3389" spans="1:1" x14ac:dyDescent="0.25">
      <c r="A3389" s="19" t="s">
        <v>5976</v>
      </c>
    </row>
    <row r="3390" spans="1:1" x14ac:dyDescent="0.25">
      <c r="A3390" s="19" t="s">
        <v>5977</v>
      </c>
    </row>
    <row r="3391" spans="1:1" x14ac:dyDescent="0.25">
      <c r="A3391" s="19" t="s">
        <v>5978</v>
      </c>
    </row>
    <row r="3392" spans="1:1" x14ac:dyDescent="0.25">
      <c r="A3392" s="19" t="s">
        <v>5979</v>
      </c>
    </row>
    <row r="3393" spans="1:1" x14ac:dyDescent="0.25">
      <c r="A3393" s="19" t="s">
        <v>5980</v>
      </c>
    </row>
    <row r="3394" spans="1:1" x14ac:dyDescent="0.25">
      <c r="A3394" s="19" t="s">
        <v>5981</v>
      </c>
    </row>
    <row r="3395" spans="1:1" x14ac:dyDescent="0.25">
      <c r="A3395" s="19" t="s">
        <v>5982</v>
      </c>
    </row>
    <row r="3396" spans="1:1" x14ac:dyDescent="0.25">
      <c r="A3396" s="19" t="s">
        <v>5983</v>
      </c>
    </row>
    <row r="3397" spans="1:1" x14ac:dyDescent="0.25">
      <c r="A3397" s="19" t="s">
        <v>5984</v>
      </c>
    </row>
    <row r="3398" spans="1:1" x14ac:dyDescent="0.25">
      <c r="A3398" s="19" t="s">
        <v>5985</v>
      </c>
    </row>
    <row r="3399" spans="1:1" x14ac:dyDescent="0.25">
      <c r="A3399" s="19" t="s">
        <v>5986</v>
      </c>
    </row>
    <row r="3400" spans="1:1" x14ac:dyDescent="0.25">
      <c r="A3400" s="19" t="s">
        <v>5987</v>
      </c>
    </row>
    <row r="3401" spans="1:1" x14ac:dyDescent="0.25">
      <c r="A3401" s="19" t="s">
        <v>5988</v>
      </c>
    </row>
    <row r="3402" spans="1:1" x14ac:dyDescent="0.25">
      <c r="A3402" s="19" t="s">
        <v>5989</v>
      </c>
    </row>
    <row r="3403" spans="1:1" x14ac:dyDescent="0.25">
      <c r="A3403" s="19" t="s">
        <v>5990</v>
      </c>
    </row>
    <row r="3404" spans="1:1" x14ac:dyDescent="0.25">
      <c r="A3404" s="19" t="s">
        <v>5991</v>
      </c>
    </row>
    <row r="3405" spans="1:1" x14ac:dyDescent="0.25">
      <c r="A3405" s="19" t="s">
        <v>5992</v>
      </c>
    </row>
    <row r="3406" spans="1:1" x14ac:dyDescent="0.25">
      <c r="A3406" s="19" t="s">
        <v>5993</v>
      </c>
    </row>
    <row r="3407" spans="1:1" x14ac:dyDescent="0.25">
      <c r="A3407" s="19" t="s">
        <v>5994</v>
      </c>
    </row>
    <row r="3408" spans="1:1" x14ac:dyDescent="0.25">
      <c r="A3408" s="19" t="s">
        <v>5995</v>
      </c>
    </row>
    <row r="3409" spans="1:1" x14ac:dyDescent="0.25">
      <c r="A3409" s="19" t="s">
        <v>5996</v>
      </c>
    </row>
    <row r="3410" spans="1:1" x14ac:dyDescent="0.25">
      <c r="A3410" s="19" t="s">
        <v>5997</v>
      </c>
    </row>
    <row r="3411" spans="1:1" x14ac:dyDescent="0.25">
      <c r="A3411" s="19" t="s">
        <v>5998</v>
      </c>
    </row>
    <row r="3412" spans="1:1" x14ac:dyDescent="0.25">
      <c r="A3412" s="19" t="s">
        <v>5999</v>
      </c>
    </row>
    <row r="3413" spans="1:1" x14ac:dyDescent="0.25">
      <c r="A3413" s="19" t="s">
        <v>6000</v>
      </c>
    </row>
    <row r="3414" spans="1:1" x14ac:dyDescent="0.25">
      <c r="A3414" s="19" t="s">
        <v>6001</v>
      </c>
    </row>
    <row r="3415" spans="1:1" x14ac:dyDescent="0.25">
      <c r="A3415" s="19" t="s">
        <v>6002</v>
      </c>
    </row>
    <row r="3416" spans="1:1" x14ac:dyDescent="0.25">
      <c r="A3416" s="19" t="s">
        <v>6003</v>
      </c>
    </row>
    <row r="3417" spans="1:1" x14ac:dyDescent="0.25">
      <c r="A3417" s="19" t="s">
        <v>6004</v>
      </c>
    </row>
    <row r="3418" spans="1:1" x14ac:dyDescent="0.25">
      <c r="A3418" s="19" t="s">
        <v>6005</v>
      </c>
    </row>
    <row r="3419" spans="1:1" x14ac:dyDescent="0.25">
      <c r="A3419" s="19" t="s">
        <v>6006</v>
      </c>
    </row>
    <row r="3420" spans="1:1" x14ac:dyDescent="0.25">
      <c r="A3420" s="19" t="s">
        <v>6007</v>
      </c>
    </row>
    <row r="3421" spans="1:1" x14ac:dyDescent="0.25">
      <c r="A3421" s="19" t="s">
        <v>6008</v>
      </c>
    </row>
    <row r="3422" spans="1:1" x14ac:dyDescent="0.25">
      <c r="A3422" s="19" t="s">
        <v>6009</v>
      </c>
    </row>
    <row r="3423" spans="1:1" x14ac:dyDescent="0.25">
      <c r="A3423" s="19" t="s">
        <v>6010</v>
      </c>
    </row>
    <row r="3424" spans="1:1" x14ac:dyDescent="0.25">
      <c r="A3424" s="19" t="s">
        <v>6011</v>
      </c>
    </row>
    <row r="3425" spans="1:1" x14ac:dyDescent="0.25">
      <c r="A3425" s="19" t="s">
        <v>6012</v>
      </c>
    </row>
    <row r="3426" spans="1:1" x14ac:dyDescent="0.25">
      <c r="A3426" s="19" t="s">
        <v>6013</v>
      </c>
    </row>
    <row r="3427" spans="1:1" x14ac:dyDescent="0.25">
      <c r="A3427" s="19" t="s">
        <v>6014</v>
      </c>
    </row>
    <row r="3428" spans="1:1" x14ac:dyDescent="0.25">
      <c r="A3428" s="19" t="s">
        <v>6015</v>
      </c>
    </row>
    <row r="3429" spans="1:1" x14ac:dyDescent="0.25">
      <c r="A3429" s="19" t="s">
        <v>6016</v>
      </c>
    </row>
    <row r="3430" spans="1:1" x14ac:dyDescent="0.25">
      <c r="A3430" s="19" t="s">
        <v>6017</v>
      </c>
    </row>
    <row r="3431" spans="1:1" x14ac:dyDescent="0.25">
      <c r="A3431" s="19" t="s">
        <v>6018</v>
      </c>
    </row>
    <row r="3432" spans="1:1" x14ac:dyDescent="0.25">
      <c r="A3432" s="19" t="s">
        <v>6019</v>
      </c>
    </row>
    <row r="3433" spans="1:1" x14ac:dyDescent="0.25">
      <c r="A3433" s="19" t="s">
        <v>6020</v>
      </c>
    </row>
    <row r="3434" spans="1:1" x14ac:dyDescent="0.25">
      <c r="A3434" s="19" t="s">
        <v>6021</v>
      </c>
    </row>
    <row r="3435" spans="1:1" x14ac:dyDescent="0.25">
      <c r="A3435" s="19" t="s">
        <v>6022</v>
      </c>
    </row>
    <row r="3436" spans="1:1" x14ac:dyDescent="0.25">
      <c r="A3436" s="19" t="s">
        <v>6023</v>
      </c>
    </row>
    <row r="3437" spans="1:1" x14ac:dyDescent="0.25">
      <c r="A3437" s="19" t="s">
        <v>6024</v>
      </c>
    </row>
    <row r="3438" spans="1:1" x14ac:dyDescent="0.25">
      <c r="A3438" s="19" t="s">
        <v>6025</v>
      </c>
    </row>
    <row r="3439" spans="1:1" x14ac:dyDescent="0.25">
      <c r="A3439" s="19" t="s">
        <v>6026</v>
      </c>
    </row>
    <row r="3440" spans="1:1" x14ac:dyDescent="0.25">
      <c r="A3440" s="19" t="s">
        <v>6027</v>
      </c>
    </row>
    <row r="3441" spans="1:1" x14ac:dyDescent="0.25">
      <c r="A3441" s="19" t="s">
        <v>6028</v>
      </c>
    </row>
    <row r="3442" spans="1:1" x14ac:dyDescent="0.25">
      <c r="A3442" s="19" t="s">
        <v>6029</v>
      </c>
    </row>
    <row r="3443" spans="1:1" x14ac:dyDescent="0.25">
      <c r="A3443" s="19" t="s">
        <v>6030</v>
      </c>
    </row>
    <row r="3444" spans="1:1" x14ac:dyDescent="0.25">
      <c r="A3444" s="19" t="s">
        <v>6031</v>
      </c>
    </row>
    <row r="3445" spans="1:1" x14ac:dyDescent="0.25">
      <c r="A3445" s="19" t="s">
        <v>6032</v>
      </c>
    </row>
    <row r="3446" spans="1:1" x14ac:dyDescent="0.25">
      <c r="A3446" s="19" t="s">
        <v>6033</v>
      </c>
    </row>
    <row r="3447" spans="1:1" x14ac:dyDescent="0.25">
      <c r="A3447" s="19" t="s">
        <v>6034</v>
      </c>
    </row>
    <row r="3448" spans="1:1" x14ac:dyDescent="0.25">
      <c r="A3448" s="19" t="s">
        <v>6035</v>
      </c>
    </row>
    <row r="3449" spans="1:1" x14ac:dyDescent="0.25">
      <c r="A3449" s="19" t="s">
        <v>6036</v>
      </c>
    </row>
    <row r="3450" spans="1:1" x14ac:dyDescent="0.25">
      <c r="A3450" s="19" t="s">
        <v>6037</v>
      </c>
    </row>
    <row r="3451" spans="1:1" x14ac:dyDescent="0.25">
      <c r="A3451" s="19" t="s">
        <v>6038</v>
      </c>
    </row>
    <row r="3452" spans="1:1" x14ac:dyDescent="0.25">
      <c r="A3452" s="19" t="s">
        <v>6039</v>
      </c>
    </row>
    <row r="3453" spans="1:1" x14ac:dyDescent="0.25">
      <c r="A3453" s="19" t="s">
        <v>6040</v>
      </c>
    </row>
    <row r="3454" spans="1:1" x14ac:dyDescent="0.25">
      <c r="A3454" s="19" t="s">
        <v>6041</v>
      </c>
    </row>
    <row r="3455" spans="1:1" x14ac:dyDescent="0.25">
      <c r="A3455" s="19" t="s">
        <v>6042</v>
      </c>
    </row>
    <row r="3456" spans="1:1" x14ac:dyDescent="0.25">
      <c r="A3456" s="19" t="s">
        <v>6043</v>
      </c>
    </row>
    <row r="3457" spans="1:1" x14ac:dyDescent="0.25">
      <c r="A3457" s="19" t="s">
        <v>6044</v>
      </c>
    </row>
    <row r="3458" spans="1:1" x14ac:dyDescent="0.25">
      <c r="A3458" s="19" t="s">
        <v>6045</v>
      </c>
    </row>
    <row r="3459" spans="1:1" x14ac:dyDescent="0.25">
      <c r="A3459" s="19" t="s">
        <v>6046</v>
      </c>
    </row>
    <row r="3460" spans="1:1" x14ac:dyDescent="0.25">
      <c r="A3460" s="19" t="s">
        <v>6047</v>
      </c>
    </row>
    <row r="3461" spans="1:1" x14ac:dyDescent="0.25">
      <c r="A3461" s="19" t="s">
        <v>6048</v>
      </c>
    </row>
    <row r="3462" spans="1:1" x14ac:dyDescent="0.25">
      <c r="A3462" s="19" t="s">
        <v>6049</v>
      </c>
    </row>
    <row r="3463" spans="1:1" x14ac:dyDescent="0.25">
      <c r="A3463" s="19" t="s">
        <v>6050</v>
      </c>
    </row>
    <row r="3464" spans="1:1" x14ac:dyDescent="0.25">
      <c r="A3464" s="19" t="s">
        <v>6051</v>
      </c>
    </row>
    <row r="3465" spans="1:1" x14ac:dyDescent="0.25">
      <c r="A3465" s="19" t="s">
        <v>6052</v>
      </c>
    </row>
    <row r="3466" spans="1:1" x14ac:dyDescent="0.25">
      <c r="A3466" s="19" t="s">
        <v>6053</v>
      </c>
    </row>
    <row r="3467" spans="1:1" x14ac:dyDescent="0.25">
      <c r="A3467" s="19" t="s">
        <v>6054</v>
      </c>
    </row>
    <row r="3468" spans="1:1" x14ac:dyDescent="0.25">
      <c r="A3468" s="19" t="s">
        <v>6055</v>
      </c>
    </row>
    <row r="3469" spans="1:1" x14ac:dyDescent="0.25">
      <c r="A3469" s="19" t="s">
        <v>6056</v>
      </c>
    </row>
    <row r="3470" spans="1:1" x14ac:dyDescent="0.25">
      <c r="A3470" s="19" t="s">
        <v>6057</v>
      </c>
    </row>
    <row r="3471" spans="1:1" x14ac:dyDescent="0.25">
      <c r="A3471" s="19" t="s">
        <v>6058</v>
      </c>
    </row>
    <row r="3472" spans="1:1" x14ac:dyDescent="0.25">
      <c r="A3472" s="19" t="s">
        <v>6059</v>
      </c>
    </row>
    <row r="3473" spans="1:1" x14ac:dyDescent="0.25">
      <c r="A3473" s="19" t="s">
        <v>6060</v>
      </c>
    </row>
    <row r="3474" spans="1:1" x14ac:dyDescent="0.25">
      <c r="A3474" s="19" t="s">
        <v>6061</v>
      </c>
    </row>
    <row r="3475" spans="1:1" x14ac:dyDescent="0.25">
      <c r="A3475" s="19" t="s">
        <v>6062</v>
      </c>
    </row>
    <row r="3476" spans="1:1" x14ac:dyDescent="0.25">
      <c r="A3476" s="19" t="s">
        <v>6063</v>
      </c>
    </row>
    <row r="3477" spans="1:1" x14ac:dyDescent="0.25">
      <c r="A3477" s="19" t="s">
        <v>6064</v>
      </c>
    </row>
    <row r="3478" spans="1:1" x14ac:dyDescent="0.25">
      <c r="A3478" s="19" t="s">
        <v>6065</v>
      </c>
    </row>
    <row r="3479" spans="1:1" x14ac:dyDescent="0.25">
      <c r="A3479" s="19" t="s">
        <v>6066</v>
      </c>
    </row>
    <row r="3480" spans="1:1" x14ac:dyDescent="0.25">
      <c r="A3480" s="19" t="s">
        <v>6067</v>
      </c>
    </row>
    <row r="3481" spans="1:1" x14ac:dyDescent="0.25">
      <c r="A3481" s="19" t="s">
        <v>6068</v>
      </c>
    </row>
    <row r="3482" spans="1:1" x14ac:dyDescent="0.25">
      <c r="A3482" s="19" t="s">
        <v>6069</v>
      </c>
    </row>
    <row r="3483" spans="1:1" x14ac:dyDescent="0.25">
      <c r="A3483" s="19" t="s">
        <v>6070</v>
      </c>
    </row>
    <row r="3484" spans="1:1" x14ac:dyDescent="0.25">
      <c r="A3484" s="19" t="s">
        <v>6071</v>
      </c>
    </row>
    <row r="3485" spans="1:1" x14ac:dyDescent="0.25">
      <c r="A3485" s="19" t="s">
        <v>6072</v>
      </c>
    </row>
    <row r="3486" spans="1:1" x14ac:dyDescent="0.25">
      <c r="A3486" s="19" t="s">
        <v>6073</v>
      </c>
    </row>
    <row r="3487" spans="1:1" x14ac:dyDescent="0.25">
      <c r="A3487" s="19" t="s">
        <v>6074</v>
      </c>
    </row>
    <row r="3488" spans="1:1" x14ac:dyDescent="0.25">
      <c r="A3488" s="19" t="s">
        <v>6075</v>
      </c>
    </row>
    <row r="3489" spans="1:1" x14ac:dyDescent="0.25">
      <c r="A3489" s="19" t="s">
        <v>6075</v>
      </c>
    </row>
    <row r="3490" spans="1:1" x14ac:dyDescent="0.25">
      <c r="A3490" s="19" t="s">
        <v>6076</v>
      </c>
    </row>
    <row r="3491" spans="1:1" x14ac:dyDescent="0.25">
      <c r="A3491" s="19" t="s">
        <v>6077</v>
      </c>
    </row>
    <row r="3492" spans="1:1" x14ac:dyDescent="0.25">
      <c r="A3492" s="19" t="s">
        <v>6078</v>
      </c>
    </row>
    <row r="3493" spans="1:1" x14ac:dyDescent="0.25">
      <c r="A3493" s="19" t="s">
        <v>6079</v>
      </c>
    </row>
    <row r="3494" spans="1:1" x14ac:dyDescent="0.25">
      <c r="A3494" s="19" t="s">
        <v>6080</v>
      </c>
    </row>
    <row r="3495" spans="1:1" x14ac:dyDescent="0.25">
      <c r="A3495" s="19" t="s">
        <v>6081</v>
      </c>
    </row>
    <row r="3496" spans="1:1" x14ac:dyDescent="0.25">
      <c r="A3496" s="19" t="s">
        <v>6082</v>
      </c>
    </row>
    <row r="3497" spans="1:1" x14ac:dyDescent="0.25">
      <c r="A3497" s="19" t="s">
        <v>6083</v>
      </c>
    </row>
    <row r="3498" spans="1:1" x14ac:dyDescent="0.25">
      <c r="A3498" s="19" t="s">
        <v>6084</v>
      </c>
    </row>
    <row r="3499" spans="1:1" x14ac:dyDescent="0.25">
      <c r="A3499" s="19" t="s">
        <v>6085</v>
      </c>
    </row>
    <row r="3500" spans="1:1" x14ac:dyDescent="0.25">
      <c r="A3500" s="19" t="s">
        <v>6086</v>
      </c>
    </row>
    <row r="3501" spans="1:1" x14ac:dyDescent="0.25">
      <c r="A3501" s="19" t="s">
        <v>6087</v>
      </c>
    </row>
    <row r="3502" spans="1:1" x14ac:dyDescent="0.25">
      <c r="A3502" s="19" t="s">
        <v>6088</v>
      </c>
    </row>
    <row r="3503" spans="1:1" x14ac:dyDescent="0.25">
      <c r="A3503" s="19" t="s">
        <v>6089</v>
      </c>
    </row>
    <row r="3504" spans="1:1" x14ac:dyDescent="0.25">
      <c r="A3504" s="19" t="s">
        <v>6090</v>
      </c>
    </row>
    <row r="3505" spans="1:1" x14ac:dyDescent="0.25">
      <c r="A3505" s="19" t="s">
        <v>6091</v>
      </c>
    </row>
    <row r="3506" spans="1:1" x14ac:dyDescent="0.25">
      <c r="A3506" s="19" t="s">
        <v>6092</v>
      </c>
    </row>
    <row r="3507" spans="1:1" x14ac:dyDescent="0.25">
      <c r="A3507" s="19" t="s">
        <v>6093</v>
      </c>
    </row>
    <row r="3508" spans="1:1" x14ac:dyDescent="0.25">
      <c r="A3508" s="19" t="s">
        <v>6094</v>
      </c>
    </row>
    <row r="3509" spans="1:1" x14ac:dyDescent="0.25">
      <c r="A3509" s="19" t="s">
        <v>6095</v>
      </c>
    </row>
    <row r="3510" spans="1:1" x14ac:dyDescent="0.25">
      <c r="A3510" s="19" t="s">
        <v>6096</v>
      </c>
    </row>
    <row r="3511" spans="1:1" x14ac:dyDescent="0.25">
      <c r="A3511" s="19" t="s">
        <v>6097</v>
      </c>
    </row>
    <row r="3512" spans="1:1" x14ac:dyDescent="0.25">
      <c r="A3512" s="19" t="s">
        <v>6098</v>
      </c>
    </row>
    <row r="3513" spans="1:1" x14ac:dyDescent="0.25">
      <c r="A3513" s="19" t="s">
        <v>6099</v>
      </c>
    </row>
    <row r="3514" spans="1:1" x14ac:dyDescent="0.25">
      <c r="A3514" s="19" t="s">
        <v>6099</v>
      </c>
    </row>
    <row r="3515" spans="1:1" x14ac:dyDescent="0.25">
      <c r="A3515" s="19" t="s">
        <v>6100</v>
      </c>
    </row>
    <row r="3516" spans="1:1" x14ac:dyDescent="0.25">
      <c r="A3516" s="19" t="s">
        <v>6101</v>
      </c>
    </row>
    <row r="3517" spans="1:1" x14ac:dyDescent="0.25">
      <c r="A3517" s="19" t="s">
        <v>6102</v>
      </c>
    </row>
    <row r="3518" spans="1:1" x14ac:dyDescent="0.25">
      <c r="A3518" s="19" t="s">
        <v>6103</v>
      </c>
    </row>
    <row r="3519" spans="1:1" x14ac:dyDescent="0.25">
      <c r="A3519" s="19" t="s">
        <v>6104</v>
      </c>
    </row>
    <row r="3520" spans="1:1" x14ac:dyDescent="0.25">
      <c r="A3520" s="19" t="s">
        <v>6105</v>
      </c>
    </row>
    <row r="3521" spans="1:1" x14ac:dyDescent="0.25">
      <c r="A3521" s="19" t="s">
        <v>6106</v>
      </c>
    </row>
    <row r="3522" spans="1:1" x14ac:dyDescent="0.25">
      <c r="A3522" s="19" t="s">
        <v>6107</v>
      </c>
    </row>
    <row r="3523" spans="1:1" x14ac:dyDescent="0.25">
      <c r="A3523" s="19" t="s">
        <v>6108</v>
      </c>
    </row>
    <row r="3524" spans="1:1" x14ac:dyDescent="0.25">
      <c r="A3524" s="19" t="s">
        <v>6109</v>
      </c>
    </row>
    <row r="3525" spans="1:1" x14ac:dyDescent="0.25">
      <c r="A3525" s="19" t="s">
        <v>6110</v>
      </c>
    </row>
    <row r="3526" spans="1:1" x14ac:dyDescent="0.25">
      <c r="A3526" s="19" t="s">
        <v>6111</v>
      </c>
    </row>
    <row r="3527" spans="1:1" x14ac:dyDescent="0.25">
      <c r="A3527" s="19" t="s">
        <v>6112</v>
      </c>
    </row>
    <row r="3528" spans="1:1" x14ac:dyDescent="0.25">
      <c r="A3528" s="19" t="s">
        <v>6113</v>
      </c>
    </row>
    <row r="3529" spans="1:1" x14ac:dyDescent="0.25">
      <c r="A3529" s="19" t="s">
        <v>6114</v>
      </c>
    </row>
    <row r="3530" spans="1:1" x14ac:dyDescent="0.25">
      <c r="A3530" s="19" t="s">
        <v>6115</v>
      </c>
    </row>
    <row r="3531" spans="1:1" x14ac:dyDescent="0.25">
      <c r="A3531" s="19" t="s">
        <v>6116</v>
      </c>
    </row>
    <row r="3532" spans="1:1" x14ac:dyDescent="0.25">
      <c r="A3532" s="19" t="s">
        <v>6117</v>
      </c>
    </row>
    <row r="3533" spans="1:1" x14ac:dyDescent="0.25">
      <c r="A3533" s="19" t="s">
        <v>6118</v>
      </c>
    </row>
    <row r="3534" spans="1:1" x14ac:dyDescent="0.25">
      <c r="A3534" s="19" t="s">
        <v>6119</v>
      </c>
    </row>
    <row r="3535" spans="1:1" x14ac:dyDescent="0.25">
      <c r="A3535" s="19" t="s">
        <v>6120</v>
      </c>
    </row>
    <row r="3536" spans="1:1" x14ac:dyDescent="0.25">
      <c r="A3536" s="19" t="s">
        <v>6121</v>
      </c>
    </row>
    <row r="3537" spans="1:1" x14ac:dyDescent="0.25">
      <c r="A3537" s="19" t="s">
        <v>6122</v>
      </c>
    </row>
    <row r="3538" spans="1:1" x14ac:dyDescent="0.25">
      <c r="A3538" s="19" t="s">
        <v>6123</v>
      </c>
    </row>
    <row r="3539" spans="1:1" x14ac:dyDescent="0.25">
      <c r="A3539" s="19" t="s">
        <v>6124</v>
      </c>
    </row>
    <row r="3540" spans="1:1" x14ac:dyDescent="0.25">
      <c r="A3540" s="19" t="s">
        <v>6125</v>
      </c>
    </row>
    <row r="3541" spans="1:1" x14ac:dyDescent="0.25">
      <c r="A3541" s="19" t="s">
        <v>6126</v>
      </c>
    </row>
    <row r="3542" spans="1:1" x14ac:dyDescent="0.25">
      <c r="A3542" s="19" t="s">
        <v>6127</v>
      </c>
    </row>
    <row r="3543" spans="1:1" x14ac:dyDescent="0.25">
      <c r="A3543" s="19" t="s">
        <v>6128</v>
      </c>
    </row>
    <row r="3544" spans="1:1" x14ac:dyDescent="0.25">
      <c r="A3544" s="19" t="s">
        <v>6129</v>
      </c>
    </row>
    <row r="3545" spans="1:1" x14ac:dyDescent="0.25">
      <c r="A3545" s="19" t="s">
        <v>6130</v>
      </c>
    </row>
    <row r="3546" spans="1:1" x14ac:dyDescent="0.25">
      <c r="A3546" s="19" t="s">
        <v>6131</v>
      </c>
    </row>
    <row r="3547" spans="1:1" x14ac:dyDescent="0.25">
      <c r="A3547" s="19" t="s">
        <v>6132</v>
      </c>
    </row>
    <row r="3548" spans="1:1" x14ac:dyDescent="0.25">
      <c r="A3548" s="19" t="s">
        <v>6133</v>
      </c>
    </row>
    <row r="3549" spans="1:1" x14ac:dyDescent="0.25">
      <c r="A3549" s="19" t="s">
        <v>6134</v>
      </c>
    </row>
    <row r="3550" spans="1:1" x14ac:dyDescent="0.25">
      <c r="A3550" s="19" t="s">
        <v>6135</v>
      </c>
    </row>
    <row r="3551" spans="1:1" x14ac:dyDescent="0.25">
      <c r="A3551" s="19" t="s">
        <v>6136</v>
      </c>
    </row>
    <row r="3552" spans="1:1" x14ac:dyDescent="0.25">
      <c r="A3552" s="19" t="s">
        <v>6137</v>
      </c>
    </row>
    <row r="3553" spans="1:1" x14ac:dyDescent="0.25">
      <c r="A3553" s="19" t="s">
        <v>6138</v>
      </c>
    </row>
    <row r="3554" spans="1:1" x14ac:dyDescent="0.25">
      <c r="A3554" s="19" t="s">
        <v>6139</v>
      </c>
    </row>
    <row r="3555" spans="1:1" x14ac:dyDescent="0.25">
      <c r="A3555" s="19" t="s">
        <v>6140</v>
      </c>
    </row>
    <row r="3556" spans="1:1" x14ac:dyDescent="0.25">
      <c r="A3556" s="19" t="s">
        <v>6141</v>
      </c>
    </row>
    <row r="3557" spans="1:1" x14ac:dyDescent="0.25">
      <c r="A3557" s="19" t="s">
        <v>6142</v>
      </c>
    </row>
    <row r="3558" spans="1:1" x14ac:dyDescent="0.25">
      <c r="A3558" s="19" t="s">
        <v>6143</v>
      </c>
    </row>
    <row r="3559" spans="1:1" x14ac:dyDescent="0.25">
      <c r="A3559" s="19" t="s">
        <v>6144</v>
      </c>
    </row>
    <row r="3560" spans="1:1" x14ac:dyDescent="0.25">
      <c r="A3560" s="19" t="s">
        <v>6145</v>
      </c>
    </row>
    <row r="3561" spans="1:1" x14ac:dyDescent="0.25">
      <c r="A3561" s="19" t="s">
        <v>6146</v>
      </c>
    </row>
    <row r="3562" spans="1:1" x14ac:dyDescent="0.25">
      <c r="A3562" s="19" t="s">
        <v>6147</v>
      </c>
    </row>
    <row r="3563" spans="1:1" x14ac:dyDescent="0.25">
      <c r="A3563" s="19" t="s">
        <v>6148</v>
      </c>
    </row>
    <row r="3564" spans="1:1" x14ac:dyDescent="0.25">
      <c r="A3564" s="19" t="s">
        <v>6149</v>
      </c>
    </row>
    <row r="3565" spans="1:1" x14ac:dyDescent="0.25">
      <c r="A3565" s="19" t="s">
        <v>6150</v>
      </c>
    </row>
    <row r="3566" spans="1:1" x14ac:dyDescent="0.25">
      <c r="A3566" s="19" t="s">
        <v>6151</v>
      </c>
    </row>
    <row r="3567" spans="1:1" x14ac:dyDescent="0.25">
      <c r="A3567" s="19" t="s">
        <v>6152</v>
      </c>
    </row>
    <row r="3568" spans="1:1" x14ac:dyDescent="0.25">
      <c r="A3568" s="19" t="s">
        <v>6153</v>
      </c>
    </row>
    <row r="3569" spans="1:1" x14ac:dyDescent="0.25">
      <c r="A3569" s="19" t="s">
        <v>6154</v>
      </c>
    </row>
    <row r="3570" spans="1:1" x14ac:dyDescent="0.25">
      <c r="A3570" s="19" t="s">
        <v>6155</v>
      </c>
    </row>
    <row r="3571" spans="1:1" x14ac:dyDescent="0.25">
      <c r="A3571" s="19" t="s">
        <v>6156</v>
      </c>
    </row>
    <row r="3572" spans="1:1" x14ac:dyDescent="0.25">
      <c r="A3572" s="19" t="s">
        <v>6157</v>
      </c>
    </row>
    <row r="3573" spans="1:1" x14ac:dyDescent="0.25">
      <c r="A3573" s="19" t="s">
        <v>6158</v>
      </c>
    </row>
    <row r="3574" spans="1:1" x14ac:dyDescent="0.25">
      <c r="A3574" s="19" t="s">
        <v>6159</v>
      </c>
    </row>
    <row r="3575" spans="1:1" x14ac:dyDescent="0.25">
      <c r="A3575" s="19" t="s">
        <v>6160</v>
      </c>
    </row>
    <row r="3576" spans="1:1" x14ac:dyDescent="0.25">
      <c r="A3576" s="19" t="s">
        <v>6161</v>
      </c>
    </row>
    <row r="3577" spans="1:1" x14ac:dyDescent="0.25">
      <c r="A3577" s="19" t="s">
        <v>6162</v>
      </c>
    </row>
    <row r="3578" spans="1:1" x14ac:dyDescent="0.25">
      <c r="A3578" s="19" t="s">
        <v>6163</v>
      </c>
    </row>
    <row r="3579" spans="1:1" x14ac:dyDescent="0.25">
      <c r="A3579" s="19" t="s">
        <v>6164</v>
      </c>
    </row>
    <row r="3580" spans="1:1" x14ac:dyDescent="0.25">
      <c r="A3580" s="19" t="s">
        <v>6165</v>
      </c>
    </row>
    <row r="3581" spans="1:1" x14ac:dyDescent="0.25">
      <c r="A3581" s="19" t="s">
        <v>6166</v>
      </c>
    </row>
    <row r="3582" spans="1:1" x14ac:dyDescent="0.25">
      <c r="A3582" s="19" t="s">
        <v>6167</v>
      </c>
    </row>
    <row r="3583" spans="1:1" x14ac:dyDescent="0.25">
      <c r="A3583" s="19" t="s">
        <v>6168</v>
      </c>
    </row>
    <row r="3584" spans="1:1" x14ac:dyDescent="0.25">
      <c r="A3584" s="19" t="s">
        <v>6169</v>
      </c>
    </row>
    <row r="3585" spans="1:1" x14ac:dyDescent="0.25">
      <c r="A3585" s="19" t="s">
        <v>6170</v>
      </c>
    </row>
    <row r="3586" spans="1:1" x14ac:dyDescent="0.25">
      <c r="A3586" s="19" t="s">
        <v>6171</v>
      </c>
    </row>
    <row r="3587" spans="1:1" x14ac:dyDescent="0.25">
      <c r="A3587" s="19" t="s">
        <v>6172</v>
      </c>
    </row>
    <row r="3588" spans="1:1" x14ac:dyDescent="0.25">
      <c r="A3588" s="19" t="s">
        <v>6173</v>
      </c>
    </row>
    <row r="3589" spans="1:1" x14ac:dyDescent="0.25">
      <c r="A3589" s="19" t="s">
        <v>6174</v>
      </c>
    </row>
    <row r="3590" spans="1:1" x14ac:dyDescent="0.25">
      <c r="A3590" s="19" t="s">
        <v>6175</v>
      </c>
    </row>
    <row r="3591" spans="1:1" x14ac:dyDescent="0.25">
      <c r="A3591" s="19" t="s">
        <v>6176</v>
      </c>
    </row>
    <row r="3592" spans="1:1" x14ac:dyDescent="0.25">
      <c r="A3592" s="19" t="s">
        <v>6177</v>
      </c>
    </row>
    <row r="3593" spans="1:1" x14ac:dyDescent="0.25">
      <c r="A3593" s="19" t="s">
        <v>6178</v>
      </c>
    </row>
    <row r="3594" spans="1:1" x14ac:dyDescent="0.25">
      <c r="A3594" s="19" t="s">
        <v>6179</v>
      </c>
    </row>
    <row r="3595" spans="1:1" x14ac:dyDescent="0.25">
      <c r="A3595" s="19" t="s">
        <v>6180</v>
      </c>
    </row>
    <row r="3596" spans="1:1" x14ac:dyDescent="0.25">
      <c r="A3596" s="19" t="s">
        <v>6181</v>
      </c>
    </row>
    <row r="3597" spans="1:1" x14ac:dyDescent="0.25">
      <c r="A3597" s="19" t="s">
        <v>6182</v>
      </c>
    </row>
    <row r="3598" spans="1:1" x14ac:dyDescent="0.25">
      <c r="A3598" s="19" t="s">
        <v>6183</v>
      </c>
    </row>
    <row r="3599" spans="1:1" x14ac:dyDescent="0.25">
      <c r="A3599" s="19" t="s">
        <v>6184</v>
      </c>
    </row>
    <row r="3600" spans="1:1" x14ac:dyDescent="0.25">
      <c r="A3600" s="19" t="s">
        <v>6185</v>
      </c>
    </row>
    <row r="3601" spans="1:1" x14ac:dyDescent="0.25">
      <c r="A3601" s="19" t="s">
        <v>6186</v>
      </c>
    </row>
    <row r="3602" spans="1:1" x14ac:dyDescent="0.25">
      <c r="A3602" s="19" t="s">
        <v>6187</v>
      </c>
    </row>
    <row r="3603" spans="1:1" x14ac:dyDescent="0.25">
      <c r="A3603" s="19" t="s">
        <v>6188</v>
      </c>
    </row>
    <row r="3604" spans="1:1" x14ac:dyDescent="0.25">
      <c r="A3604" s="19" t="s">
        <v>6189</v>
      </c>
    </row>
    <row r="3605" spans="1:1" x14ac:dyDescent="0.25">
      <c r="A3605" s="19" t="s">
        <v>6190</v>
      </c>
    </row>
    <row r="3606" spans="1:1" x14ac:dyDescent="0.25">
      <c r="A3606" s="19" t="s">
        <v>6191</v>
      </c>
    </row>
    <row r="3607" spans="1:1" x14ac:dyDescent="0.25">
      <c r="A3607" s="19" t="s">
        <v>6192</v>
      </c>
    </row>
    <row r="3608" spans="1:1" x14ac:dyDescent="0.25">
      <c r="A3608" s="19" t="s">
        <v>6193</v>
      </c>
    </row>
    <row r="3609" spans="1:1" x14ac:dyDescent="0.25">
      <c r="A3609" s="19" t="s">
        <v>6194</v>
      </c>
    </row>
    <row r="3610" spans="1:1" x14ac:dyDescent="0.25">
      <c r="A3610" s="19" t="s">
        <v>6195</v>
      </c>
    </row>
    <row r="3611" spans="1:1" x14ac:dyDescent="0.25">
      <c r="A3611" s="19" t="s">
        <v>6196</v>
      </c>
    </row>
    <row r="3612" spans="1:1" x14ac:dyDescent="0.25">
      <c r="A3612" s="19" t="s">
        <v>6197</v>
      </c>
    </row>
    <row r="3613" spans="1:1" x14ac:dyDescent="0.25">
      <c r="A3613" s="19" t="s">
        <v>6198</v>
      </c>
    </row>
    <row r="3614" spans="1:1" x14ac:dyDescent="0.25">
      <c r="A3614" s="19" t="s">
        <v>6199</v>
      </c>
    </row>
    <row r="3615" spans="1:1" x14ac:dyDescent="0.25">
      <c r="A3615" s="19" t="s">
        <v>6200</v>
      </c>
    </row>
    <row r="3616" spans="1:1" x14ac:dyDescent="0.25">
      <c r="A3616" s="19" t="s">
        <v>6201</v>
      </c>
    </row>
    <row r="3617" spans="1:1" x14ac:dyDescent="0.25">
      <c r="A3617" s="19" t="s">
        <v>6202</v>
      </c>
    </row>
    <row r="3618" spans="1:1" x14ac:dyDescent="0.25">
      <c r="A3618" s="19" t="s">
        <v>6203</v>
      </c>
    </row>
    <row r="3619" spans="1:1" x14ac:dyDescent="0.25">
      <c r="A3619" s="19" t="s">
        <v>6204</v>
      </c>
    </row>
    <row r="3620" spans="1:1" x14ac:dyDescent="0.25">
      <c r="A3620" s="19" t="s">
        <v>6205</v>
      </c>
    </row>
    <row r="3621" spans="1:1" x14ac:dyDescent="0.25">
      <c r="A3621" s="19" t="s">
        <v>6206</v>
      </c>
    </row>
    <row r="3622" spans="1:1" x14ac:dyDescent="0.25">
      <c r="A3622" s="19" t="s">
        <v>6207</v>
      </c>
    </row>
    <row r="3623" spans="1:1" x14ac:dyDescent="0.25">
      <c r="A3623" s="19" t="s">
        <v>6208</v>
      </c>
    </row>
    <row r="3624" spans="1:1" x14ac:dyDescent="0.25">
      <c r="A3624" s="19" t="s">
        <v>6209</v>
      </c>
    </row>
    <row r="3625" spans="1:1" x14ac:dyDescent="0.25">
      <c r="A3625" s="19" t="s">
        <v>6210</v>
      </c>
    </row>
    <row r="3626" spans="1:1" x14ac:dyDescent="0.25">
      <c r="A3626" s="19" t="s">
        <v>6211</v>
      </c>
    </row>
    <row r="3627" spans="1:1" x14ac:dyDescent="0.25">
      <c r="A3627" s="19" t="s">
        <v>6212</v>
      </c>
    </row>
    <row r="3628" spans="1:1" x14ac:dyDescent="0.25">
      <c r="A3628" s="19" t="s">
        <v>6213</v>
      </c>
    </row>
    <row r="3629" spans="1:1" x14ac:dyDescent="0.25">
      <c r="A3629" s="19" t="s">
        <v>6214</v>
      </c>
    </row>
    <row r="3630" spans="1:1" x14ac:dyDescent="0.25">
      <c r="A3630" s="19" t="s">
        <v>6215</v>
      </c>
    </row>
    <row r="3631" spans="1:1" x14ac:dyDescent="0.25">
      <c r="A3631" s="19" t="s">
        <v>6216</v>
      </c>
    </row>
    <row r="3632" spans="1:1" x14ac:dyDescent="0.25">
      <c r="A3632" s="19" t="s">
        <v>6217</v>
      </c>
    </row>
    <row r="3633" spans="1:1" x14ac:dyDescent="0.25">
      <c r="A3633" s="19" t="s">
        <v>6218</v>
      </c>
    </row>
    <row r="3634" spans="1:1" x14ac:dyDescent="0.25">
      <c r="A3634" s="19" t="s">
        <v>6219</v>
      </c>
    </row>
    <row r="3635" spans="1:1" x14ac:dyDescent="0.25">
      <c r="A3635" s="19" t="s">
        <v>6220</v>
      </c>
    </row>
    <row r="3636" spans="1:1" x14ac:dyDescent="0.25">
      <c r="A3636" s="19" t="s">
        <v>6221</v>
      </c>
    </row>
    <row r="3637" spans="1:1" x14ac:dyDescent="0.25">
      <c r="A3637" s="19" t="s">
        <v>6222</v>
      </c>
    </row>
    <row r="3638" spans="1:1" x14ac:dyDescent="0.25">
      <c r="A3638" s="19" t="s">
        <v>6223</v>
      </c>
    </row>
    <row r="3639" spans="1:1" x14ac:dyDescent="0.25">
      <c r="A3639" s="19" t="s">
        <v>6224</v>
      </c>
    </row>
    <row r="3640" spans="1:1" x14ac:dyDescent="0.25">
      <c r="A3640" s="19" t="s">
        <v>6225</v>
      </c>
    </row>
    <row r="3641" spans="1:1" x14ac:dyDescent="0.25">
      <c r="A3641" s="19" t="s">
        <v>6226</v>
      </c>
    </row>
    <row r="3642" spans="1:1" x14ac:dyDescent="0.25">
      <c r="A3642" s="19" t="s">
        <v>6227</v>
      </c>
    </row>
    <row r="3643" spans="1:1" x14ac:dyDescent="0.25">
      <c r="A3643" s="19" t="s">
        <v>6228</v>
      </c>
    </row>
    <row r="3644" spans="1:1" x14ac:dyDescent="0.25">
      <c r="A3644" s="19" t="s">
        <v>6229</v>
      </c>
    </row>
    <row r="3645" spans="1:1" x14ac:dyDescent="0.25">
      <c r="A3645" s="19" t="s">
        <v>6230</v>
      </c>
    </row>
    <row r="3646" spans="1:1" x14ac:dyDescent="0.25">
      <c r="A3646" s="19" t="s">
        <v>6231</v>
      </c>
    </row>
    <row r="3647" spans="1:1" x14ac:dyDescent="0.25">
      <c r="A3647" s="19" t="s">
        <v>6232</v>
      </c>
    </row>
    <row r="3648" spans="1:1" x14ac:dyDescent="0.25">
      <c r="A3648" s="19" t="s">
        <v>6233</v>
      </c>
    </row>
    <row r="3649" spans="1:1" x14ac:dyDescent="0.25">
      <c r="A3649" s="19" t="s">
        <v>6234</v>
      </c>
    </row>
    <row r="3650" spans="1:1" x14ac:dyDescent="0.25">
      <c r="A3650" s="19" t="s">
        <v>6235</v>
      </c>
    </row>
    <row r="3651" spans="1:1" x14ac:dyDescent="0.25">
      <c r="A3651" s="19" t="s">
        <v>6236</v>
      </c>
    </row>
    <row r="3652" spans="1:1" x14ac:dyDescent="0.25">
      <c r="A3652" s="19" t="s">
        <v>6237</v>
      </c>
    </row>
    <row r="3653" spans="1:1" x14ac:dyDescent="0.25">
      <c r="A3653" s="19" t="s">
        <v>6238</v>
      </c>
    </row>
    <row r="3654" spans="1:1" x14ac:dyDescent="0.25">
      <c r="A3654" s="19" t="s">
        <v>6239</v>
      </c>
    </row>
    <row r="3655" spans="1:1" x14ac:dyDescent="0.25">
      <c r="A3655" s="19" t="s">
        <v>6240</v>
      </c>
    </row>
    <row r="3656" spans="1:1" x14ac:dyDescent="0.25">
      <c r="A3656" s="19" t="s">
        <v>6241</v>
      </c>
    </row>
    <row r="3657" spans="1:1" x14ac:dyDescent="0.25">
      <c r="A3657" s="19" t="s">
        <v>6242</v>
      </c>
    </row>
    <row r="3658" spans="1:1" x14ac:dyDescent="0.25">
      <c r="A3658" s="19" t="s">
        <v>6243</v>
      </c>
    </row>
    <row r="3659" spans="1:1" x14ac:dyDescent="0.25">
      <c r="A3659" s="19" t="s">
        <v>6244</v>
      </c>
    </row>
    <row r="3660" spans="1:1" x14ac:dyDescent="0.25">
      <c r="A3660" s="19" t="s">
        <v>6245</v>
      </c>
    </row>
    <row r="3661" spans="1:1" x14ac:dyDescent="0.25">
      <c r="A3661" s="19" t="s">
        <v>6246</v>
      </c>
    </row>
    <row r="3662" spans="1:1" x14ac:dyDescent="0.25">
      <c r="A3662" s="19" t="s">
        <v>6247</v>
      </c>
    </row>
    <row r="3663" spans="1:1" x14ac:dyDescent="0.25">
      <c r="A3663" s="19" t="s">
        <v>6248</v>
      </c>
    </row>
    <row r="3664" spans="1:1" x14ac:dyDescent="0.25">
      <c r="A3664" s="19" t="s">
        <v>6249</v>
      </c>
    </row>
    <row r="3665" spans="1:1" x14ac:dyDescent="0.25">
      <c r="A3665" s="19" t="s">
        <v>6250</v>
      </c>
    </row>
    <row r="3666" spans="1:1" x14ac:dyDescent="0.25">
      <c r="A3666" s="19" t="s">
        <v>6251</v>
      </c>
    </row>
    <row r="3667" spans="1:1" x14ac:dyDescent="0.25">
      <c r="A3667" s="19" t="s">
        <v>6252</v>
      </c>
    </row>
    <row r="3668" spans="1:1" x14ac:dyDescent="0.25">
      <c r="A3668" s="19" t="s">
        <v>6253</v>
      </c>
    </row>
    <row r="3669" spans="1:1" x14ac:dyDescent="0.25">
      <c r="A3669" s="19" t="s">
        <v>6254</v>
      </c>
    </row>
    <row r="3670" spans="1:1" x14ac:dyDescent="0.25">
      <c r="A3670" s="19" t="s">
        <v>6255</v>
      </c>
    </row>
    <row r="3671" spans="1:1" x14ac:dyDescent="0.25">
      <c r="A3671" s="19" t="s">
        <v>6256</v>
      </c>
    </row>
    <row r="3672" spans="1:1" x14ac:dyDescent="0.25">
      <c r="A3672" s="19" t="s">
        <v>6257</v>
      </c>
    </row>
    <row r="3673" spans="1:1" x14ac:dyDescent="0.25">
      <c r="A3673" s="19" t="s">
        <v>6258</v>
      </c>
    </row>
    <row r="3674" spans="1:1" x14ac:dyDescent="0.25">
      <c r="A3674" s="19" t="s">
        <v>6259</v>
      </c>
    </row>
    <row r="3675" spans="1:1" x14ac:dyDescent="0.25">
      <c r="A3675" s="19" t="s">
        <v>6260</v>
      </c>
    </row>
    <row r="3676" spans="1:1" x14ac:dyDescent="0.25">
      <c r="A3676" s="19" t="s">
        <v>6261</v>
      </c>
    </row>
    <row r="3677" spans="1:1" x14ac:dyDescent="0.25">
      <c r="A3677" s="19" t="s">
        <v>6262</v>
      </c>
    </row>
    <row r="3678" spans="1:1" x14ac:dyDescent="0.25">
      <c r="A3678" s="19" t="s">
        <v>6263</v>
      </c>
    </row>
    <row r="3679" spans="1:1" x14ac:dyDescent="0.25">
      <c r="A3679" s="19" t="s">
        <v>6264</v>
      </c>
    </row>
    <row r="3680" spans="1:1" x14ac:dyDescent="0.25">
      <c r="A3680" s="19" t="s">
        <v>6265</v>
      </c>
    </row>
    <row r="3681" spans="1:1" x14ac:dyDescent="0.25">
      <c r="A3681" s="19" t="s">
        <v>6266</v>
      </c>
    </row>
    <row r="3682" spans="1:1" x14ac:dyDescent="0.25">
      <c r="A3682" s="19" t="s">
        <v>6267</v>
      </c>
    </row>
    <row r="3683" spans="1:1" x14ac:dyDescent="0.25">
      <c r="A3683" s="19" t="s">
        <v>6268</v>
      </c>
    </row>
    <row r="3684" spans="1:1" x14ac:dyDescent="0.25">
      <c r="A3684" s="19" t="s">
        <v>6269</v>
      </c>
    </row>
    <row r="3685" spans="1:1" x14ac:dyDescent="0.25">
      <c r="A3685" s="19" t="s">
        <v>6270</v>
      </c>
    </row>
    <row r="3686" spans="1:1" x14ac:dyDescent="0.25">
      <c r="A3686" s="19" t="s">
        <v>6271</v>
      </c>
    </row>
    <row r="3687" spans="1:1" x14ac:dyDescent="0.25">
      <c r="A3687" s="19" t="s">
        <v>6272</v>
      </c>
    </row>
    <row r="3688" spans="1:1" x14ac:dyDescent="0.25">
      <c r="A3688" s="19" t="s">
        <v>6273</v>
      </c>
    </row>
    <row r="3689" spans="1:1" x14ac:dyDescent="0.25">
      <c r="A3689" s="19" t="s">
        <v>6274</v>
      </c>
    </row>
    <row r="3690" spans="1:1" x14ac:dyDescent="0.25">
      <c r="A3690" s="19" t="s">
        <v>6275</v>
      </c>
    </row>
    <row r="3691" spans="1:1" x14ac:dyDescent="0.25">
      <c r="A3691" s="19" t="s">
        <v>6276</v>
      </c>
    </row>
    <row r="3692" spans="1:1" x14ac:dyDescent="0.25">
      <c r="A3692" s="19" t="s">
        <v>6277</v>
      </c>
    </row>
    <row r="3693" spans="1:1" x14ac:dyDescent="0.25">
      <c r="A3693" s="19" t="s">
        <v>6278</v>
      </c>
    </row>
    <row r="3694" spans="1:1" x14ac:dyDescent="0.25">
      <c r="A3694" s="19" t="s">
        <v>6279</v>
      </c>
    </row>
    <row r="3695" spans="1:1" x14ac:dyDescent="0.25">
      <c r="A3695" s="19" t="s">
        <v>6280</v>
      </c>
    </row>
    <row r="3696" spans="1:1" x14ac:dyDescent="0.25">
      <c r="A3696" s="19" t="s">
        <v>6281</v>
      </c>
    </row>
    <row r="3697" spans="1:1" x14ac:dyDescent="0.25">
      <c r="A3697" s="19" t="s">
        <v>6282</v>
      </c>
    </row>
    <row r="3698" spans="1:1" x14ac:dyDescent="0.25">
      <c r="A3698" s="19" t="s">
        <v>6283</v>
      </c>
    </row>
    <row r="3699" spans="1:1" x14ac:dyDescent="0.25">
      <c r="A3699" s="19" t="s">
        <v>6284</v>
      </c>
    </row>
    <row r="3700" spans="1:1" x14ac:dyDescent="0.25">
      <c r="A3700" s="19" t="s">
        <v>6285</v>
      </c>
    </row>
    <row r="3701" spans="1:1" x14ac:dyDescent="0.25">
      <c r="A3701" s="19" t="s">
        <v>6286</v>
      </c>
    </row>
    <row r="3702" spans="1:1" x14ac:dyDescent="0.25">
      <c r="A3702" s="19" t="s">
        <v>6287</v>
      </c>
    </row>
    <row r="3703" spans="1:1" x14ac:dyDescent="0.25">
      <c r="A3703" s="19" t="s">
        <v>6288</v>
      </c>
    </row>
    <row r="3704" spans="1:1" x14ac:dyDescent="0.25">
      <c r="A3704" s="19" t="s">
        <v>6289</v>
      </c>
    </row>
    <row r="3705" spans="1:1" x14ac:dyDescent="0.25">
      <c r="A3705" s="19" t="s">
        <v>6290</v>
      </c>
    </row>
    <row r="3706" spans="1:1" x14ac:dyDescent="0.25">
      <c r="A3706" s="19" t="s">
        <v>6291</v>
      </c>
    </row>
    <row r="3707" spans="1:1" x14ac:dyDescent="0.25">
      <c r="A3707" s="19" t="s">
        <v>6292</v>
      </c>
    </row>
    <row r="3708" spans="1:1" x14ac:dyDescent="0.25">
      <c r="A3708" s="19" t="s">
        <v>6293</v>
      </c>
    </row>
    <row r="3709" spans="1:1" x14ac:dyDescent="0.25">
      <c r="A3709" s="19" t="s">
        <v>6294</v>
      </c>
    </row>
    <row r="3710" spans="1:1" x14ac:dyDescent="0.25">
      <c r="A3710" s="19" t="s">
        <v>6295</v>
      </c>
    </row>
    <row r="3711" spans="1:1" x14ac:dyDescent="0.25">
      <c r="A3711" s="19" t="s">
        <v>6296</v>
      </c>
    </row>
    <row r="3712" spans="1:1" x14ac:dyDescent="0.25">
      <c r="A3712" s="19" t="s">
        <v>6297</v>
      </c>
    </row>
    <row r="3713" spans="1:1" x14ac:dyDescent="0.25">
      <c r="A3713" s="19" t="s">
        <v>6298</v>
      </c>
    </row>
    <row r="3714" spans="1:1" x14ac:dyDescent="0.25">
      <c r="A3714" s="19" t="s">
        <v>6299</v>
      </c>
    </row>
    <row r="3715" spans="1:1" x14ac:dyDescent="0.25">
      <c r="A3715" s="19" t="s">
        <v>6300</v>
      </c>
    </row>
    <row r="3716" spans="1:1" x14ac:dyDescent="0.25">
      <c r="A3716" s="19" t="s">
        <v>6301</v>
      </c>
    </row>
    <row r="3717" spans="1:1" x14ac:dyDescent="0.25">
      <c r="A3717" s="19" t="s">
        <v>6302</v>
      </c>
    </row>
    <row r="3718" spans="1:1" x14ac:dyDescent="0.25">
      <c r="A3718" s="19" t="s">
        <v>6303</v>
      </c>
    </row>
    <row r="3719" spans="1:1" x14ac:dyDescent="0.25">
      <c r="A3719" s="19" t="s">
        <v>6304</v>
      </c>
    </row>
    <row r="3720" spans="1:1" x14ac:dyDescent="0.25">
      <c r="A3720" s="19" t="s">
        <v>6305</v>
      </c>
    </row>
    <row r="3721" spans="1:1" x14ac:dyDescent="0.25">
      <c r="A3721" s="19" t="s">
        <v>6306</v>
      </c>
    </row>
    <row r="3722" spans="1:1" x14ac:dyDescent="0.25">
      <c r="A3722" s="19" t="s">
        <v>6307</v>
      </c>
    </row>
    <row r="3723" spans="1:1" x14ac:dyDescent="0.25">
      <c r="A3723" s="19" t="s">
        <v>6308</v>
      </c>
    </row>
    <row r="3724" spans="1:1" x14ac:dyDescent="0.25">
      <c r="A3724" s="19" t="s">
        <v>6309</v>
      </c>
    </row>
    <row r="3725" spans="1:1" x14ac:dyDescent="0.25">
      <c r="A3725" s="19" t="s">
        <v>6310</v>
      </c>
    </row>
    <row r="3726" spans="1:1" x14ac:dyDescent="0.25">
      <c r="A3726" s="19" t="s">
        <v>6311</v>
      </c>
    </row>
    <row r="3727" spans="1:1" x14ac:dyDescent="0.25">
      <c r="A3727" s="19" t="s">
        <v>6312</v>
      </c>
    </row>
    <row r="3728" spans="1:1" x14ac:dyDescent="0.25">
      <c r="A3728" s="19" t="s">
        <v>6313</v>
      </c>
    </row>
    <row r="3729" spans="1:1" x14ac:dyDescent="0.25">
      <c r="A3729" s="19" t="s">
        <v>6314</v>
      </c>
    </row>
    <row r="3730" spans="1:1" x14ac:dyDescent="0.25">
      <c r="A3730" s="19" t="s">
        <v>6315</v>
      </c>
    </row>
    <row r="3731" spans="1:1" x14ac:dyDescent="0.25">
      <c r="A3731" s="19" t="s">
        <v>6316</v>
      </c>
    </row>
    <row r="3732" spans="1:1" x14ac:dyDescent="0.25">
      <c r="A3732" s="19" t="s">
        <v>6317</v>
      </c>
    </row>
    <row r="3733" spans="1:1" x14ac:dyDescent="0.25">
      <c r="A3733" s="19" t="s">
        <v>6318</v>
      </c>
    </row>
    <row r="3734" spans="1:1" x14ac:dyDescent="0.25">
      <c r="A3734" s="19" t="s">
        <v>6319</v>
      </c>
    </row>
    <row r="3735" spans="1:1" x14ac:dyDescent="0.25">
      <c r="A3735" s="19" t="s">
        <v>6320</v>
      </c>
    </row>
    <row r="3736" spans="1:1" x14ac:dyDescent="0.25">
      <c r="A3736" s="19" t="s">
        <v>6321</v>
      </c>
    </row>
    <row r="3737" spans="1:1" x14ac:dyDescent="0.25">
      <c r="A3737" s="19" t="s">
        <v>6322</v>
      </c>
    </row>
    <row r="3738" spans="1:1" x14ac:dyDescent="0.25">
      <c r="A3738" s="19" t="s">
        <v>6323</v>
      </c>
    </row>
    <row r="3739" spans="1:1" x14ac:dyDescent="0.25">
      <c r="A3739" s="19" t="s">
        <v>6324</v>
      </c>
    </row>
    <row r="3740" spans="1:1" x14ac:dyDescent="0.25">
      <c r="A3740" s="19" t="s">
        <v>6325</v>
      </c>
    </row>
    <row r="3741" spans="1:1" x14ac:dyDescent="0.25">
      <c r="A3741" s="19" t="s">
        <v>6326</v>
      </c>
    </row>
    <row r="3742" spans="1:1" x14ac:dyDescent="0.25">
      <c r="A3742" s="19" t="s">
        <v>6327</v>
      </c>
    </row>
    <row r="3743" spans="1:1" x14ac:dyDescent="0.25">
      <c r="A3743" s="19" t="s">
        <v>6328</v>
      </c>
    </row>
    <row r="3744" spans="1:1" x14ac:dyDescent="0.25">
      <c r="A3744" s="19" t="s">
        <v>6329</v>
      </c>
    </row>
    <row r="3745" spans="1:1" x14ac:dyDescent="0.25">
      <c r="A3745" s="19" t="s">
        <v>6330</v>
      </c>
    </row>
    <row r="3746" spans="1:1" x14ac:dyDescent="0.25">
      <c r="A3746" s="19" t="s">
        <v>6331</v>
      </c>
    </row>
    <row r="3747" spans="1:1" x14ac:dyDescent="0.25">
      <c r="A3747" s="19" t="s">
        <v>6332</v>
      </c>
    </row>
    <row r="3748" spans="1:1" x14ac:dyDescent="0.25">
      <c r="A3748" s="19" t="s">
        <v>6333</v>
      </c>
    </row>
    <row r="3749" spans="1:1" x14ac:dyDescent="0.25">
      <c r="A3749" s="19" t="s">
        <v>6333</v>
      </c>
    </row>
    <row r="3750" spans="1:1" x14ac:dyDescent="0.25">
      <c r="A3750" s="19" t="s">
        <v>6334</v>
      </c>
    </row>
    <row r="3751" spans="1:1" x14ac:dyDescent="0.25">
      <c r="A3751" s="19" t="s">
        <v>6335</v>
      </c>
    </row>
    <row r="3752" spans="1:1" x14ac:dyDescent="0.25">
      <c r="A3752" s="19" t="s">
        <v>6336</v>
      </c>
    </row>
    <row r="3753" spans="1:1" x14ac:dyDescent="0.25">
      <c r="A3753" s="19" t="s">
        <v>6337</v>
      </c>
    </row>
    <row r="3754" spans="1:1" x14ac:dyDescent="0.25">
      <c r="A3754" s="19" t="s">
        <v>6338</v>
      </c>
    </row>
    <row r="3755" spans="1:1" x14ac:dyDescent="0.25">
      <c r="A3755" s="19" t="s">
        <v>6339</v>
      </c>
    </row>
    <row r="3756" spans="1:1" x14ac:dyDescent="0.25">
      <c r="A3756" s="19" t="s">
        <v>6340</v>
      </c>
    </row>
    <row r="3757" spans="1:1" x14ac:dyDescent="0.25">
      <c r="A3757" s="19" t="s">
        <v>6341</v>
      </c>
    </row>
    <row r="3758" spans="1:1" x14ac:dyDescent="0.25">
      <c r="A3758" s="19" t="s">
        <v>6342</v>
      </c>
    </row>
    <row r="3759" spans="1:1" x14ac:dyDescent="0.25">
      <c r="A3759" s="19" t="s">
        <v>6343</v>
      </c>
    </row>
    <row r="3760" spans="1:1" x14ac:dyDescent="0.25">
      <c r="A3760" s="19" t="s">
        <v>6344</v>
      </c>
    </row>
    <row r="3761" spans="1:1" x14ac:dyDescent="0.25">
      <c r="A3761" s="19" t="s">
        <v>6345</v>
      </c>
    </row>
    <row r="3762" spans="1:1" x14ac:dyDescent="0.25">
      <c r="A3762" s="19" t="s">
        <v>6346</v>
      </c>
    </row>
    <row r="3763" spans="1:1" x14ac:dyDescent="0.25">
      <c r="A3763" s="19" t="s">
        <v>6347</v>
      </c>
    </row>
    <row r="3764" spans="1:1" x14ac:dyDescent="0.25">
      <c r="A3764" s="19" t="s">
        <v>6348</v>
      </c>
    </row>
    <row r="3765" spans="1:1" x14ac:dyDescent="0.25">
      <c r="A3765" s="19" t="s">
        <v>6349</v>
      </c>
    </row>
    <row r="3766" spans="1:1" x14ac:dyDescent="0.25">
      <c r="A3766" s="19" t="s">
        <v>6350</v>
      </c>
    </row>
    <row r="3767" spans="1:1" x14ac:dyDescent="0.25">
      <c r="A3767" s="19" t="s">
        <v>6351</v>
      </c>
    </row>
    <row r="3768" spans="1:1" x14ac:dyDescent="0.25">
      <c r="A3768" s="19" t="s">
        <v>6352</v>
      </c>
    </row>
    <row r="3769" spans="1:1" x14ac:dyDescent="0.25">
      <c r="A3769" s="19" t="s">
        <v>6353</v>
      </c>
    </row>
    <row r="3770" spans="1:1" x14ac:dyDescent="0.25">
      <c r="A3770" s="19" t="s">
        <v>6354</v>
      </c>
    </row>
    <row r="3771" spans="1:1" x14ac:dyDescent="0.25">
      <c r="A3771" s="19" t="s">
        <v>6355</v>
      </c>
    </row>
    <row r="3772" spans="1:1" x14ac:dyDescent="0.25">
      <c r="A3772" s="19" t="s">
        <v>6356</v>
      </c>
    </row>
    <row r="3773" spans="1:1" x14ac:dyDescent="0.25">
      <c r="A3773" s="19" t="s">
        <v>6357</v>
      </c>
    </row>
    <row r="3774" spans="1:1" x14ac:dyDescent="0.25">
      <c r="A3774" s="19" t="s">
        <v>6358</v>
      </c>
    </row>
    <row r="3775" spans="1:1" x14ac:dyDescent="0.25">
      <c r="A3775" s="19" t="s">
        <v>6358</v>
      </c>
    </row>
    <row r="3776" spans="1:1" x14ac:dyDescent="0.25">
      <c r="A3776" s="19" t="s">
        <v>6359</v>
      </c>
    </row>
    <row r="3777" spans="1:1" x14ac:dyDescent="0.25">
      <c r="A3777" s="19" t="s">
        <v>6360</v>
      </c>
    </row>
    <row r="3778" spans="1:1" x14ac:dyDescent="0.25">
      <c r="A3778" s="19" t="s">
        <v>6361</v>
      </c>
    </row>
    <row r="3779" spans="1:1" x14ac:dyDescent="0.25">
      <c r="A3779" s="19" t="s">
        <v>6362</v>
      </c>
    </row>
    <row r="3780" spans="1:1" x14ac:dyDescent="0.25">
      <c r="A3780" s="19" t="s">
        <v>6363</v>
      </c>
    </row>
    <row r="3781" spans="1:1" x14ac:dyDescent="0.25">
      <c r="A3781" s="19" t="s">
        <v>6364</v>
      </c>
    </row>
    <row r="3782" spans="1:1" x14ac:dyDescent="0.25">
      <c r="A3782" s="19" t="s">
        <v>6365</v>
      </c>
    </row>
    <row r="3783" spans="1:1" x14ac:dyDescent="0.25">
      <c r="A3783" s="19" t="s">
        <v>6366</v>
      </c>
    </row>
    <row r="3784" spans="1:1" x14ac:dyDescent="0.25">
      <c r="A3784" s="19" t="s">
        <v>6367</v>
      </c>
    </row>
    <row r="3785" spans="1:1" x14ac:dyDescent="0.25">
      <c r="A3785" s="19" t="s">
        <v>6368</v>
      </c>
    </row>
    <row r="3786" spans="1:1" x14ac:dyDescent="0.25">
      <c r="A3786" s="19" t="s">
        <v>6369</v>
      </c>
    </row>
    <row r="3787" spans="1:1" x14ac:dyDescent="0.25">
      <c r="A3787" s="19" t="s">
        <v>6370</v>
      </c>
    </row>
    <row r="3788" spans="1:1" x14ac:dyDescent="0.25">
      <c r="A3788" s="19" t="s">
        <v>6371</v>
      </c>
    </row>
    <row r="3789" spans="1:1" x14ac:dyDescent="0.25">
      <c r="A3789" s="19" t="s">
        <v>6372</v>
      </c>
    </row>
    <row r="3790" spans="1:1" x14ac:dyDescent="0.25">
      <c r="A3790" s="19" t="s">
        <v>6373</v>
      </c>
    </row>
    <row r="3791" spans="1:1" x14ac:dyDescent="0.25">
      <c r="A3791" s="19" t="s">
        <v>6374</v>
      </c>
    </row>
    <row r="3792" spans="1:1" x14ac:dyDescent="0.25">
      <c r="A3792" s="19" t="s">
        <v>6375</v>
      </c>
    </row>
    <row r="3793" spans="1:1" x14ac:dyDescent="0.25">
      <c r="A3793" s="19" t="s">
        <v>6376</v>
      </c>
    </row>
    <row r="3794" spans="1:1" x14ac:dyDescent="0.25">
      <c r="A3794" s="19" t="s">
        <v>6377</v>
      </c>
    </row>
    <row r="3795" spans="1:1" x14ac:dyDescent="0.25">
      <c r="A3795" s="19" t="s">
        <v>6378</v>
      </c>
    </row>
    <row r="3796" spans="1:1" x14ac:dyDescent="0.25">
      <c r="A3796" s="19" t="s">
        <v>6379</v>
      </c>
    </row>
    <row r="3797" spans="1:1" x14ac:dyDescent="0.25">
      <c r="A3797" s="19" t="s">
        <v>6380</v>
      </c>
    </row>
    <row r="3798" spans="1:1" x14ac:dyDescent="0.25">
      <c r="A3798" s="19" t="s">
        <v>6381</v>
      </c>
    </row>
    <row r="3799" spans="1:1" x14ac:dyDescent="0.25">
      <c r="A3799" s="19" t="s">
        <v>6382</v>
      </c>
    </row>
    <row r="3800" spans="1:1" x14ac:dyDescent="0.25">
      <c r="A3800" s="19" t="s">
        <v>6383</v>
      </c>
    </row>
    <row r="3801" spans="1:1" x14ac:dyDescent="0.25">
      <c r="A3801" s="19" t="s">
        <v>6384</v>
      </c>
    </row>
    <row r="3802" spans="1:1" x14ac:dyDescent="0.25">
      <c r="A3802" s="19" t="s">
        <v>6385</v>
      </c>
    </row>
    <row r="3803" spans="1:1" x14ac:dyDescent="0.25">
      <c r="A3803" s="19" t="s">
        <v>6386</v>
      </c>
    </row>
    <row r="3804" spans="1:1" x14ac:dyDescent="0.25">
      <c r="A3804" s="19" t="s">
        <v>6387</v>
      </c>
    </row>
    <row r="3805" spans="1:1" x14ac:dyDescent="0.25">
      <c r="A3805" s="19" t="s">
        <v>6388</v>
      </c>
    </row>
    <row r="3806" spans="1:1" x14ac:dyDescent="0.25">
      <c r="A3806" s="19" t="s">
        <v>6389</v>
      </c>
    </row>
    <row r="3807" spans="1:1" x14ac:dyDescent="0.25">
      <c r="A3807" s="19" t="s">
        <v>6390</v>
      </c>
    </row>
    <row r="3808" spans="1:1" x14ac:dyDescent="0.25">
      <c r="A3808" s="19" t="s">
        <v>6391</v>
      </c>
    </row>
    <row r="3809" spans="1:1" x14ac:dyDescent="0.25">
      <c r="A3809" s="19" t="s">
        <v>6392</v>
      </c>
    </row>
    <row r="3810" spans="1:1" x14ac:dyDescent="0.25">
      <c r="A3810" s="19" t="s">
        <v>6393</v>
      </c>
    </row>
    <row r="3811" spans="1:1" x14ac:dyDescent="0.25">
      <c r="A3811" s="19" t="s">
        <v>6394</v>
      </c>
    </row>
    <row r="3812" spans="1:1" x14ac:dyDescent="0.25">
      <c r="A3812" s="19" t="s">
        <v>6395</v>
      </c>
    </row>
    <row r="3813" spans="1:1" x14ac:dyDescent="0.25">
      <c r="A3813" s="19" t="s">
        <v>6396</v>
      </c>
    </row>
    <row r="3814" spans="1:1" x14ac:dyDescent="0.25">
      <c r="A3814" s="19" t="s">
        <v>6397</v>
      </c>
    </row>
    <row r="3815" spans="1:1" x14ac:dyDescent="0.25">
      <c r="A3815" s="19" t="s">
        <v>6398</v>
      </c>
    </row>
    <row r="3816" spans="1:1" x14ac:dyDescent="0.25">
      <c r="A3816" s="19" t="s">
        <v>6399</v>
      </c>
    </row>
    <row r="3817" spans="1:1" x14ac:dyDescent="0.25">
      <c r="A3817" s="19" t="s">
        <v>6400</v>
      </c>
    </row>
    <row r="3818" spans="1:1" x14ac:dyDescent="0.25">
      <c r="A3818" s="19" t="s">
        <v>6401</v>
      </c>
    </row>
    <row r="3819" spans="1:1" x14ac:dyDescent="0.25">
      <c r="A3819" s="19" t="s">
        <v>6402</v>
      </c>
    </row>
    <row r="3820" spans="1:1" x14ac:dyDescent="0.25">
      <c r="A3820" s="19" t="s">
        <v>6403</v>
      </c>
    </row>
    <row r="3821" spans="1:1" x14ac:dyDescent="0.25">
      <c r="A3821" s="19" t="s">
        <v>6404</v>
      </c>
    </row>
    <row r="3822" spans="1:1" x14ac:dyDescent="0.25">
      <c r="A3822" s="19" t="s">
        <v>6405</v>
      </c>
    </row>
    <row r="3823" spans="1:1" x14ac:dyDescent="0.25">
      <c r="A3823" s="19" t="s">
        <v>6406</v>
      </c>
    </row>
    <row r="3824" spans="1:1" x14ac:dyDescent="0.25">
      <c r="A3824" s="19" t="s">
        <v>6407</v>
      </c>
    </row>
    <row r="3825" spans="1:1" x14ac:dyDescent="0.25">
      <c r="A3825" s="19" t="s">
        <v>6408</v>
      </c>
    </row>
    <row r="3826" spans="1:1" x14ac:dyDescent="0.25">
      <c r="A3826" s="19" t="s">
        <v>6409</v>
      </c>
    </row>
    <row r="3827" spans="1:1" x14ac:dyDescent="0.25">
      <c r="A3827" s="19" t="s">
        <v>6410</v>
      </c>
    </row>
    <row r="3828" spans="1:1" x14ac:dyDescent="0.25">
      <c r="A3828" s="19" t="s">
        <v>6411</v>
      </c>
    </row>
    <row r="3829" spans="1:1" x14ac:dyDescent="0.25">
      <c r="A3829" s="19" t="s">
        <v>6412</v>
      </c>
    </row>
    <row r="3830" spans="1:1" x14ac:dyDescent="0.25">
      <c r="A3830" s="19" t="s">
        <v>6413</v>
      </c>
    </row>
    <row r="3831" spans="1:1" x14ac:dyDescent="0.25">
      <c r="A3831" s="19" t="s">
        <v>6414</v>
      </c>
    </row>
    <row r="3832" spans="1:1" x14ac:dyDescent="0.25">
      <c r="A3832" s="19" t="s">
        <v>6415</v>
      </c>
    </row>
    <row r="3833" spans="1:1" x14ac:dyDescent="0.25">
      <c r="A3833" s="19" t="s">
        <v>6416</v>
      </c>
    </row>
    <row r="3834" spans="1:1" x14ac:dyDescent="0.25">
      <c r="A3834" s="19" t="s">
        <v>6417</v>
      </c>
    </row>
    <row r="3835" spans="1:1" x14ac:dyDescent="0.25">
      <c r="A3835" s="19" t="s">
        <v>6418</v>
      </c>
    </row>
    <row r="3836" spans="1:1" x14ac:dyDescent="0.25">
      <c r="A3836" s="19" t="s">
        <v>6419</v>
      </c>
    </row>
    <row r="3837" spans="1:1" x14ac:dyDescent="0.25">
      <c r="A3837" s="19" t="s">
        <v>6420</v>
      </c>
    </row>
    <row r="3838" spans="1:1" x14ac:dyDescent="0.25">
      <c r="A3838" s="19" t="s">
        <v>6421</v>
      </c>
    </row>
    <row r="3839" spans="1:1" x14ac:dyDescent="0.25">
      <c r="A3839" s="19" t="s">
        <v>6422</v>
      </c>
    </row>
    <row r="3840" spans="1:1" x14ac:dyDescent="0.25">
      <c r="A3840" s="19" t="s">
        <v>6423</v>
      </c>
    </row>
    <row r="3841" spans="1:1" x14ac:dyDescent="0.25">
      <c r="A3841" s="19" t="s">
        <v>6424</v>
      </c>
    </row>
    <row r="3842" spans="1:1" x14ac:dyDescent="0.25">
      <c r="A3842" s="19" t="s">
        <v>6425</v>
      </c>
    </row>
    <row r="3843" spans="1:1" x14ac:dyDescent="0.25">
      <c r="A3843" s="19" t="s">
        <v>6426</v>
      </c>
    </row>
    <row r="3844" spans="1:1" x14ac:dyDescent="0.25">
      <c r="A3844" s="19" t="s">
        <v>6427</v>
      </c>
    </row>
    <row r="3845" spans="1:1" x14ac:dyDescent="0.25">
      <c r="A3845" s="19" t="s">
        <v>6428</v>
      </c>
    </row>
    <row r="3846" spans="1:1" x14ac:dyDescent="0.25">
      <c r="A3846" s="19" t="s">
        <v>6429</v>
      </c>
    </row>
    <row r="3847" spans="1:1" x14ac:dyDescent="0.25">
      <c r="A3847" s="19" t="s">
        <v>6430</v>
      </c>
    </row>
    <row r="3848" spans="1:1" x14ac:dyDescent="0.25">
      <c r="A3848" s="19" t="s">
        <v>6431</v>
      </c>
    </row>
    <row r="3849" spans="1:1" x14ac:dyDescent="0.25">
      <c r="A3849" s="19" t="s">
        <v>6432</v>
      </c>
    </row>
    <row r="3850" spans="1:1" x14ac:dyDescent="0.25">
      <c r="A3850" s="19" t="s">
        <v>6433</v>
      </c>
    </row>
    <row r="3851" spans="1:1" x14ac:dyDescent="0.25">
      <c r="A3851" s="19" t="s">
        <v>6434</v>
      </c>
    </row>
    <row r="3852" spans="1:1" x14ac:dyDescent="0.25">
      <c r="A3852" s="19" t="s">
        <v>6435</v>
      </c>
    </row>
    <row r="3853" spans="1:1" x14ac:dyDescent="0.25">
      <c r="A3853" s="19" t="s">
        <v>6436</v>
      </c>
    </row>
    <row r="3854" spans="1:1" x14ac:dyDescent="0.25">
      <c r="A3854" s="19" t="s">
        <v>6437</v>
      </c>
    </row>
    <row r="3855" spans="1:1" x14ac:dyDescent="0.25">
      <c r="A3855" s="19" t="s">
        <v>6438</v>
      </c>
    </row>
    <row r="3856" spans="1:1" x14ac:dyDescent="0.25">
      <c r="A3856" s="19" t="s">
        <v>6439</v>
      </c>
    </row>
    <row r="3857" spans="1:1" x14ac:dyDescent="0.25">
      <c r="A3857" s="19" t="s">
        <v>6440</v>
      </c>
    </row>
    <row r="3858" spans="1:1" x14ac:dyDescent="0.25">
      <c r="A3858" s="19" t="s">
        <v>6441</v>
      </c>
    </row>
    <row r="3859" spans="1:1" x14ac:dyDescent="0.25">
      <c r="A3859" s="19" t="s">
        <v>6442</v>
      </c>
    </row>
    <row r="3860" spans="1:1" x14ac:dyDescent="0.25">
      <c r="A3860" s="19" t="s">
        <v>6443</v>
      </c>
    </row>
    <row r="3861" spans="1:1" x14ac:dyDescent="0.25">
      <c r="A3861" s="19" t="s">
        <v>6444</v>
      </c>
    </row>
    <row r="3862" spans="1:1" x14ac:dyDescent="0.25">
      <c r="A3862" s="19" t="s">
        <v>6445</v>
      </c>
    </row>
    <row r="3863" spans="1:1" x14ac:dyDescent="0.25">
      <c r="A3863" s="19" t="s">
        <v>6446</v>
      </c>
    </row>
    <row r="3864" spans="1:1" x14ac:dyDescent="0.25">
      <c r="A3864" s="19" t="s">
        <v>6447</v>
      </c>
    </row>
    <row r="3865" spans="1:1" x14ac:dyDescent="0.25">
      <c r="A3865" s="19" t="s">
        <v>6448</v>
      </c>
    </row>
    <row r="3866" spans="1:1" x14ac:dyDescent="0.25">
      <c r="A3866" s="19" t="s">
        <v>6449</v>
      </c>
    </row>
    <row r="3867" spans="1:1" x14ac:dyDescent="0.25">
      <c r="A3867" s="19" t="s">
        <v>6450</v>
      </c>
    </row>
    <row r="3868" spans="1:1" x14ac:dyDescent="0.25">
      <c r="A3868" s="19" t="s">
        <v>6451</v>
      </c>
    </row>
    <row r="3869" spans="1:1" x14ac:dyDescent="0.25">
      <c r="A3869" s="19" t="s">
        <v>6452</v>
      </c>
    </row>
    <row r="3870" spans="1:1" x14ac:dyDescent="0.25">
      <c r="A3870" s="19" t="s">
        <v>6453</v>
      </c>
    </row>
    <row r="3871" spans="1:1" x14ac:dyDescent="0.25">
      <c r="A3871" s="19" t="s">
        <v>6454</v>
      </c>
    </row>
    <row r="3872" spans="1:1" x14ac:dyDescent="0.25">
      <c r="A3872" s="19" t="s">
        <v>6455</v>
      </c>
    </row>
    <row r="3873" spans="1:1" x14ac:dyDescent="0.25">
      <c r="A3873" s="19" t="s">
        <v>6456</v>
      </c>
    </row>
    <row r="3874" spans="1:1" x14ac:dyDescent="0.25">
      <c r="A3874" s="19" t="s">
        <v>6457</v>
      </c>
    </row>
    <row r="3875" spans="1:1" x14ac:dyDescent="0.25">
      <c r="A3875" s="19" t="s">
        <v>6458</v>
      </c>
    </row>
    <row r="3876" spans="1:1" x14ac:dyDescent="0.25">
      <c r="A3876" s="19" t="s">
        <v>6459</v>
      </c>
    </row>
    <row r="3877" spans="1:1" x14ac:dyDescent="0.25">
      <c r="A3877" s="19" t="s">
        <v>6460</v>
      </c>
    </row>
    <row r="3878" spans="1:1" x14ac:dyDescent="0.25">
      <c r="A3878" s="19" t="s">
        <v>6461</v>
      </c>
    </row>
    <row r="3879" spans="1:1" x14ac:dyDescent="0.25">
      <c r="A3879" s="19" t="s">
        <v>6462</v>
      </c>
    </row>
    <row r="3880" spans="1:1" x14ac:dyDescent="0.25">
      <c r="A3880" s="19" t="s">
        <v>6463</v>
      </c>
    </row>
    <row r="3881" spans="1:1" x14ac:dyDescent="0.25">
      <c r="A3881" s="19" t="s">
        <v>6464</v>
      </c>
    </row>
    <row r="3882" spans="1:1" x14ac:dyDescent="0.25">
      <c r="A3882" s="19" t="s">
        <v>6465</v>
      </c>
    </row>
    <row r="3883" spans="1:1" x14ac:dyDescent="0.25">
      <c r="A3883" s="19" t="s">
        <v>6466</v>
      </c>
    </row>
    <row r="3884" spans="1:1" x14ac:dyDescent="0.25">
      <c r="A3884" s="19" t="s">
        <v>6467</v>
      </c>
    </row>
    <row r="3885" spans="1:1" x14ac:dyDescent="0.25">
      <c r="A3885" s="19" t="s">
        <v>6468</v>
      </c>
    </row>
    <row r="3886" spans="1:1" x14ac:dyDescent="0.25">
      <c r="A3886" s="19" t="s">
        <v>6469</v>
      </c>
    </row>
    <row r="3887" spans="1:1" x14ac:dyDescent="0.25">
      <c r="A3887" s="19" t="s">
        <v>6470</v>
      </c>
    </row>
    <row r="3888" spans="1:1" x14ac:dyDescent="0.25">
      <c r="A3888" s="19" t="s">
        <v>6471</v>
      </c>
    </row>
    <row r="3889" spans="1:1" x14ac:dyDescent="0.25">
      <c r="A3889" s="19" t="s">
        <v>6472</v>
      </c>
    </row>
    <row r="3890" spans="1:1" x14ac:dyDescent="0.25">
      <c r="A3890" s="19" t="s">
        <v>6473</v>
      </c>
    </row>
    <row r="3891" spans="1:1" x14ac:dyDescent="0.25">
      <c r="A3891" s="19" t="s">
        <v>6474</v>
      </c>
    </row>
    <row r="3892" spans="1:1" x14ac:dyDescent="0.25">
      <c r="A3892" s="19" t="s">
        <v>6475</v>
      </c>
    </row>
    <row r="3893" spans="1:1" x14ac:dyDescent="0.25">
      <c r="A3893" s="19" t="s">
        <v>6476</v>
      </c>
    </row>
    <row r="3894" spans="1:1" x14ac:dyDescent="0.25">
      <c r="A3894" s="19" t="s">
        <v>6477</v>
      </c>
    </row>
    <row r="3895" spans="1:1" x14ac:dyDescent="0.25">
      <c r="A3895" s="19" t="s">
        <v>6478</v>
      </c>
    </row>
    <row r="3896" spans="1:1" x14ac:dyDescent="0.25">
      <c r="A3896" s="19" t="s">
        <v>6479</v>
      </c>
    </row>
    <row r="3897" spans="1:1" x14ac:dyDescent="0.25">
      <c r="A3897" s="19" t="s">
        <v>6480</v>
      </c>
    </row>
    <row r="3898" spans="1:1" x14ac:dyDescent="0.25">
      <c r="A3898" s="19" t="s">
        <v>6481</v>
      </c>
    </row>
    <row r="3899" spans="1:1" x14ac:dyDescent="0.25">
      <c r="A3899" s="19" t="s">
        <v>6482</v>
      </c>
    </row>
    <row r="3900" spans="1:1" x14ac:dyDescent="0.25">
      <c r="A3900" s="19" t="s">
        <v>6483</v>
      </c>
    </row>
    <row r="3901" spans="1:1" x14ac:dyDescent="0.25">
      <c r="A3901" s="19" t="s">
        <v>6484</v>
      </c>
    </row>
    <row r="3902" spans="1:1" x14ac:dyDescent="0.25">
      <c r="A3902" s="19" t="s">
        <v>6485</v>
      </c>
    </row>
    <row r="3903" spans="1:1" x14ac:dyDescent="0.25">
      <c r="A3903" s="19" t="s">
        <v>6486</v>
      </c>
    </row>
    <row r="3904" spans="1:1" x14ac:dyDescent="0.25">
      <c r="A3904" s="19" t="s">
        <v>6487</v>
      </c>
    </row>
    <row r="3905" spans="1:1" x14ac:dyDescent="0.25">
      <c r="A3905" s="19" t="s">
        <v>6488</v>
      </c>
    </row>
    <row r="3906" spans="1:1" x14ac:dyDescent="0.25">
      <c r="A3906" s="19" t="s">
        <v>6489</v>
      </c>
    </row>
    <row r="3907" spans="1:1" x14ac:dyDescent="0.25">
      <c r="A3907" s="19" t="s">
        <v>6490</v>
      </c>
    </row>
    <row r="3908" spans="1:1" x14ac:dyDescent="0.25">
      <c r="A3908" s="19" t="s">
        <v>6491</v>
      </c>
    </row>
    <row r="3909" spans="1:1" x14ac:dyDescent="0.25">
      <c r="A3909" s="19" t="s">
        <v>6492</v>
      </c>
    </row>
    <row r="3910" spans="1:1" x14ac:dyDescent="0.25">
      <c r="A3910" s="19" t="s">
        <v>6493</v>
      </c>
    </row>
    <row r="3911" spans="1:1" x14ac:dyDescent="0.25">
      <c r="A3911" s="19" t="s">
        <v>6494</v>
      </c>
    </row>
    <row r="3912" spans="1:1" x14ac:dyDescent="0.25">
      <c r="A3912" s="19" t="s">
        <v>6495</v>
      </c>
    </row>
    <row r="3913" spans="1:1" x14ac:dyDescent="0.25">
      <c r="A3913" s="19" t="s">
        <v>6496</v>
      </c>
    </row>
    <row r="3914" spans="1:1" x14ac:dyDescent="0.25">
      <c r="A3914" s="19" t="s">
        <v>6497</v>
      </c>
    </row>
    <row r="3915" spans="1:1" x14ac:dyDescent="0.25">
      <c r="A3915" s="19" t="s">
        <v>6498</v>
      </c>
    </row>
    <row r="3916" spans="1:1" x14ac:dyDescent="0.25">
      <c r="A3916" s="19" t="s">
        <v>6499</v>
      </c>
    </row>
    <row r="3917" spans="1:1" x14ac:dyDescent="0.25">
      <c r="A3917" s="19" t="s">
        <v>6500</v>
      </c>
    </row>
    <row r="3918" spans="1:1" x14ac:dyDescent="0.25">
      <c r="A3918" s="19" t="s">
        <v>6501</v>
      </c>
    </row>
    <row r="3919" spans="1:1" x14ac:dyDescent="0.25">
      <c r="A3919" s="19" t="s">
        <v>6501</v>
      </c>
    </row>
    <row r="3920" spans="1:1" x14ac:dyDescent="0.25">
      <c r="A3920" s="19" t="s">
        <v>6502</v>
      </c>
    </row>
    <row r="3921" spans="1:1" x14ac:dyDescent="0.25">
      <c r="A3921" s="19" t="s">
        <v>6503</v>
      </c>
    </row>
    <row r="3922" spans="1:1" x14ac:dyDescent="0.25">
      <c r="A3922" s="19" t="s">
        <v>6504</v>
      </c>
    </row>
    <row r="3923" spans="1:1" x14ac:dyDescent="0.25">
      <c r="A3923" s="19" t="s">
        <v>6505</v>
      </c>
    </row>
    <row r="3924" spans="1:1" x14ac:dyDescent="0.25">
      <c r="A3924" s="19" t="s">
        <v>6506</v>
      </c>
    </row>
    <row r="3925" spans="1:1" x14ac:dyDescent="0.25">
      <c r="A3925" s="19" t="s">
        <v>6507</v>
      </c>
    </row>
    <row r="3926" spans="1:1" x14ac:dyDescent="0.25">
      <c r="A3926" s="19" t="s">
        <v>6508</v>
      </c>
    </row>
    <row r="3927" spans="1:1" x14ac:dyDescent="0.25">
      <c r="A3927" s="19" t="s">
        <v>6509</v>
      </c>
    </row>
    <row r="3928" spans="1:1" x14ac:dyDescent="0.25">
      <c r="A3928" s="19" t="s">
        <v>6510</v>
      </c>
    </row>
    <row r="3929" spans="1:1" x14ac:dyDescent="0.25">
      <c r="A3929" s="19" t="s">
        <v>6511</v>
      </c>
    </row>
    <row r="3930" spans="1:1" x14ac:dyDescent="0.25">
      <c r="A3930" s="19" t="s">
        <v>6512</v>
      </c>
    </row>
    <row r="3931" spans="1:1" x14ac:dyDescent="0.25">
      <c r="A3931" s="19" t="s">
        <v>6513</v>
      </c>
    </row>
    <row r="3932" spans="1:1" x14ac:dyDescent="0.25">
      <c r="A3932" s="19" t="s">
        <v>6514</v>
      </c>
    </row>
    <row r="3933" spans="1:1" x14ac:dyDescent="0.25">
      <c r="A3933" s="19" t="s">
        <v>6515</v>
      </c>
    </row>
    <row r="3934" spans="1:1" x14ac:dyDescent="0.25">
      <c r="A3934" s="19" t="s">
        <v>6516</v>
      </c>
    </row>
    <row r="3935" spans="1:1" x14ac:dyDescent="0.25">
      <c r="A3935" s="19" t="s">
        <v>6517</v>
      </c>
    </row>
    <row r="3936" spans="1:1" x14ac:dyDescent="0.25">
      <c r="A3936" s="19" t="s">
        <v>6518</v>
      </c>
    </row>
    <row r="3937" spans="1:1" x14ac:dyDescent="0.25">
      <c r="A3937" s="19" t="s">
        <v>6519</v>
      </c>
    </row>
    <row r="3938" spans="1:1" x14ac:dyDescent="0.25">
      <c r="A3938" s="19" t="s">
        <v>6520</v>
      </c>
    </row>
    <row r="3939" spans="1:1" x14ac:dyDescent="0.25">
      <c r="A3939" s="19" t="s">
        <v>6521</v>
      </c>
    </row>
    <row r="3940" spans="1:1" x14ac:dyDescent="0.25">
      <c r="A3940" s="19" t="s">
        <v>6522</v>
      </c>
    </row>
    <row r="3941" spans="1:1" x14ac:dyDescent="0.25">
      <c r="A3941" s="19" t="s">
        <v>6523</v>
      </c>
    </row>
    <row r="3942" spans="1:1" x14ac:dyDescent="0.25">
      <c r="A3942" s="19" t="s">
        <v>6524</v>
      </c>
    </row>
    <row r="3943" spans="1:1" x14ac:dyDescent="0.25">
      <c r="A3943" s="19" t="s">
        <v>6525</v>
      </c>
    </row>
    <row r="3944" spans="1:1" x14ac:dyDescent="0.25">
      <c r="A3944" s="19" t="s">
        <v>6526</v>
      </c>
    </row>
    <row r="3945" spans="1:1" x14ac:dyDescent="0.25">
      <c r="A3945" s="19" t="s">
        <v>6527</v>
      </c>
    </row>
    <row r="3946" spans="1:1" x14ac:dyDescent="0.25">
      <c r="A3946" s="19" t="s">
        <v>6528</v>
      </c>
    </row>
    <row r="3947" spans="1:1" x14ac:dyDescent="0.25">
      <c r="A3947" s="19" t="s">
        <v>6529</v>
      </c>
    </row>
    <row r="3948" spans="1:1" x14ac:dyDescent="0.25">
      <c r="A3948" s="19" t="s">
        <v>6530</v>
      </c>
    </row>
    <row r="3949" spans="1:1" x14ac:dyDescent="0.25">
      <c r="A3949" s="19" t="s">
        <v>6531</v>
      </c>
    </row>
    <row r="3950" spans="1:1" x14ac:dyDescent="0.25">
      <c r="A3950" s="19" t="s">
        <v>6532</v>
      </c>
    </row>
    <row r="3951" spans="1:1" x14ac:dyDescent="0.25">
      <c r="A3951" s="19" t="s">
        <v>6533</v>
      </c>
    </row>
    <row r="3952" spans="1:1" x14ac:dyDescent="0.25">
      <c r="A3952" s="19" t="s">
        <v>6534</v>
      </c>
    </row>
    <row r="3953" spans="1:1" x14ac:dyDescent="0.25">
      <c r="A3953" s="19" t="s">
        <v>6535</v>
      </c>
    </row>
    <row r="3954" spans="1:1" x14ac:dyDescent="0.25">
      <c r="A3954" s="19" t="s">
        <v>6536</v>
      </c>
    </row>
    <row r="3955" spans="1:1" x14ac:dyDescent="0.25">
      <c r="A3955" s="19" t="s">
        <v>6537</v>
      </c>
    </row>
    <row r="3956" spans="1:1" x14ac:dyDescent="0.25">
      <c r="A3956" s="19" t="s">
        <v>6538</v>
      </c>
    </row>
    <row r="3957" spans="1:1" x14ac:dyDescent="0.25">
      <c r="A3957" s="19" t="s">
        <v>6539</v>
      </c>
    </row>
    <row r="3958" spans="1:1" x14ac:dyDescent="0.25">
      <c r="A3958" s="19" t="s">
        <v>6540</v>
      </c>
    </row>
    <row r="3959" spans="1:1" x14ac:dyDescent="0.25">
      <c r="A3959" s="19" t="s">
        <v>6541</v>
      </c>
    </row>
    <row r="3960" spans="1:1" x14ac:dyDescent="0.25">
      <c r="A3960" s="19" t="s">
        <v>6542</v>
      </c>
    </row>
    <row r="3961" spans="1:1" x14ac:dyDescent="0.25">
      <c r="A3961" s="19" t="s">
        <v>6543</v>
      </c>
    </row>
    <row r="3962" spans="1:1" x14ac:dyDescent="0.25">
      <c r="A3962" s="19" t="s">
        <v>6544</v>
      </c>
    </row>
    <row r="3963" spans="1:1" x14ac:dyDescent="0.25">
      <c r="A3963" s="19" t="s">
        <v>6545</v>
      </c>
    </row>
    <row r="3964" spans="1:1" x14ac:dyDescent="0.25">
      <c r="A3964" s="19" t="s">
        <v>6546</v>
      </c>
    </row>
    <row r="3965" spans="1:1" x14ac:dyDescent="0.25">
      <c r="A3965" s="19" t="s">
        <v>6547</v>
      </c>
    </row>
    <row r="3966" spans="1:1" x14ac:dyDescent="0.25">
      <c r="A3966" s="19" t="s">
        <v>6548</v>
      </c>
    </row>
    <row r="3967" spans="1:1" x14ac:dyDescent="0.25">
      <c r="A3967" s="19" t="s">
        <v>6549</v>
      </c>
    </row>
    <row r="3968" spans="1:1" x14ac:dyDescent="0.25">
      <c r="A3968" s="19" t="s">
        <v>6550</v>
      </c>
    </row>
    <row r="3969" spans="1:1" x14ac:dyDescent="0.25">
      <c r="A3969" s="19" t="s">
        <v>6551</v>
      </c>
    </row>
    <row r="3970" spans="1:1" x14ac:dyDescent="0.25">
      <c r="A3970" s="19" t="s">
        <v>6552</v>
      </c>
    </row>
    <row r="3971" spans="1:1" x14ac:dyDescent="0.25">
      <c r="A3971" s="19" t="s">
        <v>6553</v>
      </c>
    </row>
    <row r="3972" spans="1:1" x14ac:dyDescent="0.25">
      <c r="A3972" s="19" t="s">
        <v>6554</v>
      </c>
    </row>
    <row r="3973" spans="1:1" x14ac:dyDescent="0.25">
      <c r="A3973" s="19" t="s">
        <v>6555</v>
      </c>
    </row>
    <row r="3974" spans="1:1" x14ac:dyDescent="0.25">
      <c r="A3974" s="19" t="s">
        <v>6556</v>
      </c>
    </row>
    <row r="3975" spans="1:1" x14ac:dyDescent="0.25">
      <c r="A3975" s="19" t="s">
        <v>6557</v>
      </c>
    </row>
    <row r="3976" spans="1:1" x14ac:dyDescent="0.25">
      <c r="A3976" s="19" t="s">
        <v>6558</v>
      </c>
    </row>
    <row r="3977" spans="1:1" x14ac:dyDescent="0.25">
      <c r="A3977" s="19" t="s">
        <v>6559</v>
      </c>
    </row>
    <row r="3978" spans="1:1" x14ac:dyDescent="0.25">
      <c r="A3978" s="19" t="s">
        <v>6560</v>
      </c>
    </row>
    <row r="3979" spans="1:1" x14ac:dyDescent="0.25">
      <c r="A3979" s="19" t="s">
        <v>6561</v>
      </c>
    </row>
    <row r="3980" spans="1:1" x14ac:dyDescent="0.25">
      <c r="A3980" s="19" t="s">
        <v>6562</v>
      </c>
    </row>
    <row r="3981" spans="1:1" x14ac:dyDescent="0.25">
      <c r="A3981" s="19" t="s">
        <v>6563</v>
      </c>
    </row>
    <row r="3982" spans="1:1" x14ac:dyDescent="0.25">
      <c r="A3982" s="19" t="s">
        <v>6564</v>
      </c>
    </row>
    <row r="3983" spans="1:1" x14ac:dyDescent="0.25">
      <c r="A3983" s="19" t="s">
        <v>6565</v>
      </c>
    </row>
    <row r="3984" spans="1:1" x14ac:dyDescent="0.25">
      <c r="A3984" s="19" t="s">
        <v>6566</v>
      </c>
    </row>
    <row r="3985" spans="1:1" x14ac:dyDescent="0.25">
      <c r="A3985" s="19" t="s">
        <v>6567</v>
      </c>
    </row>
    <row r="3986" spans="1:1" x14ac:dyDescent="0.25">
      <c r="A3986" s="19" t="s">
        <v>6568</v>
      </c>
    </row>
    <row r="3987" spans="1:1" x14ac:dyDescent="0.25">
      <c r="A3987" s="19" t="s">
        <v>6569</v>
      </c>
    </row>
    <row r="3988" spans="1:1" x14ac:dyDescent="0.25">
      <c r="A3988" s="19" t="s">
        <v>6570</v>
      </c>
    </row>
    <row r="3989" spans="1:1" x14ac:dyDescent="0.25">
      <c r="A3989" s="19" t="s">
        <v>6571</v>
      </c>
    </row>
    <row r="3990" spans="1:1" x14ac:dyDescent="0.25">
      <c r="A3990" s="19" t="s">
        <v>6572</v>
      </c>
    </row>
    <row r="3991" spans="1:1" x14ac:dyDescent="0.25">
      <c r="A3991" s="19" t="s">
        <v>6573</v>
      </c>
    </row>
    <row r="3992" spans="1:1" x14ac:dyDescent="0.25">
      <c r="A3992" s="19" t="s">
        <v>6574</v>
      </c>
    </row>
    <row r="3993" spans="1:1" x14ac:dyDescent="0.25">
      <c r="A3993" s="19" t="s">
        <v>6575</v>
      </c>
    </row>
    <row r="3994" spans="1:1" x14ac:dyDescent="0.25">
      <c r="A3994" s="19" t="s">
        <v>6576</v>
      </c>
    </row>
    <row r="3995" spans="1:1" x14ac:dyDescent="0.25">
      <c r="A3995" s="19" t="s">
        <v>6577</v>
      </c>
    </row>
    <row r="3996" spans="1:1" x14ac:dyDescent="0.25">
      <c r="A3996" s="19" t="s">
        <v>6578</v>
      </c>
    </row>
    <row r="3997" spans="1:1" x14ac:dyDescent="0.25">
      <c r="A3997" s="19" t="s">
        <v>6579</v>
      </c>
    </row>
    <row r="3998" spans="1:1" x14ac:dyDescent="0.25">
      <c r="A3998" s="19" t="s">
        <v>6580</v>
      </c>
    </row>
    <row r="3999" spans="1:1" x14ac:dyDescent="0.25">
      <c r="A3999" s="19" t="s">
        <v>6581</v>
      </c>
    </row>
    <row r="4000" spans="1:1" x14ac:dyDescent="0.25">
      <c r="A4000" s="19" t="s">
        <v>6582</v>
      </c>
    </row>
    <row r="4001" spans="1:1" x14ac:dyDescent="0.25">
      <c r="A4001" s="19" t="s">
        <v>6583</v>
      </c>
    </row>
    <row r="4002" spans="1:1" x14ac:dyDescent="0.25">
      <c r="A4002" s="19" t="s">
        <v>6584</v>
      </c>
    </row>
    <row r="4003" spans="1:1" x14ac:dyDescent="0.25">
      <c r="A4003" s="19" t="s">
        <v>6585</v>
      </c>
    </row>
    <row r="4004" spans="1:1" x14ac:dyDescent="0.25">
      <c r="A4004" s="19" t="s">
        <v>6586</v>
      </c>
    </row>
    <row r="4005" spans="1:1" x14ac:dyDescent="0.25">
      <c r="A4005" s="19" t="s">
        <v>6587</v>
      </c>
    </row>
    <row r="4006" spans="1:1" x14ac:dyDescent="0.25">
      <c r="A4006" s="19" t="s">
        <v>6588</v>
      </c>
    </row>
    <row r="4007" spans="1:1" x14ac:dyDescent="0.25">
      <c r="A4007" s="19" t="s">
        <v>6589</v>
      </c>
    </row>
    <row r="4008" spans="1:1" x14ac:dyDescent="0.25">
      <c r="A4008" s="19" t="s">
        <v>6590</v>
      </c>
    </row>
    <row r="4009" spans="1:1" x14ac:dyDescent="0.25">
      <c r="A4009" s="19" t="s">
        <v>6591</v>
      </c>
    </row>
    <row r="4010" spans="1:1" x14ac:dyDescent="0.25">
      <c r="A4010" s="19" t="s">
        <v>6592</v>
      </c>
    </row>
    <row r="4011" spans="1:1" x14ac:dyDescent="0.25">
      <c r="A4011" s="19" t="s">
        <v>6593</v>
      </c>
    </row>
    <row r="4012" spans="1:1" x14ac:dyDescent="0.25">
      <c r="A4012" s="19" t="s">
        <v>6594</v>
      </c>
    </row>
    <row r="4013" spans="1:1" x14ac:dyDescent="0.25">
      <c r="A4013" s="19" t="s">
        <v>6595</v>
      </c>
    </row>
    <row r="4014" spans="1:1" x14ac:dyDescent="0.25">
      <c r="A4014" s="19" t="s">
        <v>6596</v>
      </c>
    </row>
    <row r="4015" spans="1:1" x14ac:dyDescent="0.25">
      <c r="A4015" s="19" t="s">
        <v>6597</v>
      </c>
    </row>
    <row r="4016" spans="1:1" x14ac:dyDescent="0.25">
      <c r="A4016" s="19" t="s">
        <v>6598</v>
      </c>
    </row>
    <row r="4017" spans="1:1" x14ac:dyDescent="0.25">
      <c r="A4017" s="19" t="s">
        <v>6599</v>
      </c>
    </row>
    <row r="4018" spans="1:1" x14ac:dyDescent="0.25">
      <c r="A4018" s="19" t="s">
        <v>6600</v>
      </c>
    </row>
    <row r="4019" spans="1:1" x14ac:dyDescent="0.25">
      <c r="A4019" s="19" t="s">
        <v>6601</v>
      </c>
    </row>
    <row r="4020" spans="1:1" x14ac:dyDescent="0.25">
      <c r="A4020" s="19" t="s">
        <v>6602</v>
      </c>
    </row>
    <row r="4021" spans="1:1" x14ac:dyDescent="0.25">
      <c r="A4021" s="19" t="s">
        <v>6603</v>
      </c>
    </row>
    <row r="4022" spans="1:1" x14ac:dyDescent="0.25">
      <c r="A4022" s="19" t="s">
        <v>6604</v>
      </c>
    </row>
    <row r="4023" spans="1:1" x14ac:dyDescent="0.25">
      <c r="A4023" s="19" t="s">
        <v>6605</v>
      </c>
    </row>
    <row r="4024" spans="1:1" x14ac:dyDescent="0.25">
      <c r="A4024" s="19" t="s">
        <v>6606</v>
      </c>
    </row>
    <row r="4025" spans="1:1" x14ac:dyDescent="0.25">
      <c r="A4025" s="19" t="s">
        <v>6607</v>
      </c>
    </row>
    <row r="4026" spans="1:1" x14ac:dyDescent="0.25">
      <c r="A4026" s="19" t="s">
        <v>6608</v>
      </c>
    </row>
    <row r="4027" spans="1:1" x14ac:dyDescent="0.25">
      <c r="A4027" s="19" t="s">
        <v>6609</v>
      </c>
    </row>
    <row r="4028" spans="1:1" x14ac:dyDescent="0.25">
      <c r="A4028" s="19" t="s">
        <v>6610</v>
      </c>
    </row>
    <row r="4029" spans="1:1" x14ac:dyDescent="0.25">
      <c r="A4029" s="19" t="s">
        <v>6611</v>
      </c>
    </row>
    <row r="4030" spans="1:1" x14ac:dyDescent="0.25">
      <c r="A4030" s="19" t="s">
        <v>6612</v>
      </c>
    </row>
    <row r="4031" spans="1:1" x14ac:dyDescent="0.25">
      <c r="A4031" s="19" t="s">
        <v>6613</v>
      </c>
    </row>
    <row r="4032" spans="1:1" x14ac:dyDescent="0.25">
      <c r="A4032" s="19" t="s">
        <v>6614</v>
      </c>
    </row>
    <row r="4033" spans="1:1" x14ac:dyDescent="0.25">
      <c r="A4033" s="19" t="s">
        <v>6615</v>
      </c>
    </row>
    <row r="4034" spans="1:1" x14ac:dyDescent="0.25">
      <c r="A4034" s="19" t="s">
        <v>6616</v>
      </c>
    </row>
    <row r="4035" spans="1:1" x14ac:dyDescent="0.25">
      <c r="A4035" s="19" t="s">
        <v>6617</v>
      </c>
    </row>
    <row r="4036" spans="1:1" x14ac:dyDescent="0.25">
      <c r="A4036" s="19" t="s">
        <v>6618</v>
      </c>
    </row>
    <row r="4037" spans="1:1" x14ac:dyDescent="0.25">
      <c r="A4037" s="19" t="s">
        <v>6619</v>
      </c>
    </row>
    <row r="4038" spans="1:1" x14ac:dyDescent="0.25">
      <c r="A4038" s="19" t="s">
        <v>6620</v>
      </c>
    </row>
    <row r="4039" spans="1:1" x14ac:dyDescent="0.25">
      <c r="A4039" s="19" t="s">
        <v>6621</v>
      </c>
    </row>
    <row r="4040" spans="1:1" x14ac:dyDescent="0.25">
      <c r="A4040" s="19" t="s">
        <v>6622</v>
      </c>
    </row>
    <row r="4041" spans="1:1" x14ac:dyDescent="0.25">
      <c r="A4041" s="19" t="s">
        <v>6623</v>
      </c>
    </row>
    <row r="4042" spans="1:1" x14ac:dyDescent="0.25">
      <c r="A4042" s="19" t="s">
        <v>6624</v>
      </c>
    </row>
    <row r="4043" spans="1:1" x14ac:dyDescent="0.25">
      <c r="A4043" s="19" t="s">
        <v>6625</v>
      </c>
    </row>
    <row r="4044" spans="1:1" x14ac:dyDescent="0.25">
      <c r="A4044" s="19" t="s">
        <v>6626</v>
      </c>
    </row>
    <row r="4045" spans="1:1" x14ac:dyDescent="0.25">
      <c r="A4045" s="19" t="s">
        <v>6627</v>
      </c>
    </row>
    <row r="4046" spans="1:1" x14ac:dyDescent="0.25">
      <c r="A4046" s="19" t="s">
        <v>6627</v>
      </c>
    </row>
    <row r="4047" spans="1:1" x14ac:dyDescent="0.25">
      <c r="A4047" s="19" t="s">
        <v>6628</v>
      </c>
    </row>
    <row r="4048" spans="1:1" x14ac:dyDescent="0.25">
      <c r="A4048" s="19" t="s">
        <v>6629</v>
      </c>
    </row>
    <row r="4049" spans="1:1" x14ac:dyDescent="0.25">
      <c r="A4049" s="19" t="s">
        <v>6630</v>
      </c>
    </row>
    <row r="4050" spans="1:1" x14ac:dyDescent="0.25">
      <c r="A4050" s="19" t="s">
        <v>6631</v>
      </c>
    </row>
    <row r="4051" spans="1:1" x14ac:dyDescent="0.25">
      <c r="A4051" s="19" t="s">
        <v>6632</v>
      </c>
    </row>
    <row r="4052" spans="1:1" x14ac:dyDescent="0.25">
      <c r="A4052" s="19" t="s">
        <v>6633</v>
      </c>
    </row>
    <row r="4053" spans="1:1" x14ac:dyDescent="0.25">
      <c r="A4053" s="19" t="s">
        <v>6634</v>
      </c>
    </row>
    <row r="4054" spans="1:1" x14ac:dyDescent="0.25">
      <c r="A4054" s="19" t="s">
        <v>6635</v>
      </c>
    </row>
    <row r="4055" spans="1:1" x14ac:dyDescent="0.25">
      <c r="A4055" s="19" t="s">
        <v>6636</v>
      </c>
    </row>
    <row r="4056" spans="1:1" x14ac:dyDescent="0.25">
      <c r="A4056" s="19" t="s">
        <v>6637</v>
      </c>
    </row>
    <row r="4057" spans="1:1" x14ac:dyDescent="0.25">
      <c r="A4057" s="19" t="s">
        <v>6638</v>
      </c>
    </row>
    <row r="4058" spans="1:1" x14ac:dyDescent="0.25">
      <c r="A4058" s="19" t="s">
        <v>6639</v>
      </c>
    </row>
    <row r="4059" spans="1:1" x14ac:dyDescent="0.25">
      <c r="A4059" s="19" t="s">
        <v>6640</v>
      </c>
    </row>
    <row r="4060" spans="1:1" x14ac:dyDescent="0.25">
      <c r="A4060" s="19" t="s">
        <v>6641</v>
      </c>
    </row>
    <row r="4061" spans="1:1" x14ac:dyDescent="0.25">
      <c r="A4061" s="19" t="s">
        <v>6642</v>
      </c>
    </row>
    <row r="4062" spans="1:1" x14ac:dyDescent="0.25">
      <c r="A4062" s="19" t="s">
        <v>6643</v>
      </c>
    </row>
    <row r="4063" spans="1:1" x14ac:dyDescent="0.25">
      <c r="A4063" s="19" t="s">
        <v>6644</v>
      </c>
    </row>
    <row r="4064" spans="1:1" x14ac:dyDescent="0.25">
      <c r="A4064" s="19" t="s">
        <v>6645</v>
      </c>
    </row>
    <row r="4065" spans="1:1" x14ac:dyDescent="0.25">
      <c r="A4065" s="19" t="s">
        <v>6646</v>
      </c>
    </row>
    <row r="4066" spans="1:1" x14ac:dyDescent="0.25">
      <c r="A4066" s="19" t="s">
        <v>6647</v>
      </c>
    </row>
    <row r="4067" spans="1:1" x14ac:dyDescent="0.25">
      <c r="A4067" s="19" t="s">
        <v>6648</v>
      </c>
    </row>
    <row r="4068" spans="1:1" x14ac:dyDescent="0.25">
      <c r="A4068" s="19" t="s">
        <v>6649</v>
      </c>
    </row>
    <row r="4069" spans="1:1" x14ac:dyDescent="0.25">
      <c r="A4069" s="19" t="s">
        <v>6650</v>
      </c>
    </row>
    <row r="4070" spans="1:1" x14ac:dyDescent="0.25">
      <c r="A4070" s="19" t="s">
        <v>6651</v>
      </c>
    </row>
    <row r="4071" spans="1:1" x14ac:dyDescent="0.25">
      <c r="A4071" s="19" t="s">
        <v>6652</v>
      </c>
    </row>
    <row r="4072" spans="1:1" x14ac:dyDescent="0.25">
      <c r="A4072" s="19" t="s">
        <v>6653</v>
      </c>
    </row>
    <row r="4073" spans="1:1" x14ac:dyDescent="0.25">
      <c r="A4073" s="19" t="s">
        <v>6654</v>
      </c>
    </row>
    <row r="4074" spans="1:1" x14ac:dyDescent="0.25">
      <c r="A4074" s="19" t="s">
        <v>6655</v>
      </c>
    </row>
    <row r="4075" spans="1:1" x14ac:dyDescent="0.25">
      <c r="A4075" s="19" t="s">
        <v>6655</v>
      </c>
    </row>
    <row r="4076" spans="1:1" x14ac:dyDescent="0.25">
      <c r="A4076" s="19" t="s">
        <v>6656</v>
      </c>
    </row>
    <row r="4077" spans="1:1" x14ac:dyDescent="0.25">
      <c r="A4077" s="19" t="s">
        <v>6657</v>
      </c>
    </row>
    <row r="4078" spans="1:1" x14ac:dyDescent="0.25">
      <c r="A4078" s="19" t="s">
        <v>6658</v>
      </c>
    </row>
    <row r="4079" spans="1:1" x14ac:dyDescent="0.25">
      <c r="A4079" s="19" t="s">
        <v>6659</v>
      </c>
    </row>
    <row r="4080" spans="1:1" x14ac:dyDescent="0.25">
      <c r="A4080" s="19" t="s">
        <v>6660</v>
      </c>
    </row>
    <row r="4081" spans="1:1" x14ac:dyDescent="0.25">
      <c r="A4081" s="19" t="s">
        <v>6661</v>
      </c>
    </row>
    <row r="4082" spans="1:1" x14ac:dyDescent="0.25">
      <c r="A4082" s="19" t="s">
        <v>6662</v>
      </c>
    </row>
    <row r="4083" spans="1:1" x14ac:dyDescent="0.25">
      <c r="A4083" s="19" t="s">
        <v>6663</v>
      </c>
    </row>
    <row r="4084" spans="1:1" x14ac:dyDescent="0.25">
      <c r="A4084" s="19" t="s">
        <v>6664</v>
      </c>
    </row>
    <row r="4085" spans="1:1" x14ac:dyDescent="0.25">
      <c r="A4085" s="19" t="s">
        <v>6665</v>
      </c>
    </row>
    <row r="4086" spans="1:1" x14ac:dyDescent="0.25">
      <c r="A4086" s="19" t="s">
        <v>6666</v>
      </c>
    </row>
    <row r="4087" spans="1:1" x14ac:dyDescent="0.25">
      <c r="A4087" s="19" t="s">
        <v>6667</v>
      </c>
    </row>
    <row r="4088" spans="1:1" x14ac:dyDescent="0.25">
      <c r="A4088" s="19" t="s">
        <v>6668</v>
      </c>
    </row>
    <row r="4089" spans="1:1" x14ac:dyDescent="0.25">
      <c r="A4089" s="19" t="s">
        <v>6669</v>
      </c>
    </row>
    <row r="4090" spans="1:1" x14ac:dyDescent="0.25">
      <c r="A4090" s="19" t="s">
        <v>6670</v>
      </c>
    </row>
    <row r="4091" spans="1:1" x14ac:dyDescent="0.25">
      <c r="A4091" s="19" t="s">
        <v>6671</v>
      </c>
    </row>
    <row r="4092" spans="1:1" x14ac:dyDescent="0.25">
      <c r="A4092" s="19" t="s">
        <v>6672</v>
      </c>
    </row>
    <row r="4093" spans="1:1" x14ac:dyDescent="0.25">
      <c r="A4093" s="19" t="s">
        <v>6673</v>
      </c>
    </row>
    <row r="4094" spans="1:1" x14ac:dyDescent="0.25">
      <c r="A4094" s="19" t="s">
        <v>6674</v>
      </c>
    </row>
    <row r="4095" spans="1:1" x14ac:dyDescent="0.25">
      <c r="A4095" s="19" t="s">
        <v>6675</v>
      </c>
    </row>
    <row r="4096" spans="1:1" x14ac:dyDescent="0.25">
      <c r="A4096" s="19" t="s">
        <v>6676</v>
      </c>
    </row>
    <row r="4097" spans="1:1" x14ac:dyDescent="0.25">
      <c r="A4097" s="19" t="s">
        <v>6677</v>
      </c>
    </row>
    <row r="4098" spans="1:1" x14ac:dyDescent="0.25">
      <c r="A4098" s="19" t="s">
        <v>6678</v>
      </c>
    </row>
    <row r="4099" spans="1:1" x14ac:dyDescent="0.25">
      <c r="A4099" s="19" t="s">
        <v>6679</v>
      </c>
    </row>
    <row r="4100" spans="1:1" x14ac:dyDescent="0.25">
      <c r="A4100" s="19" t="s">
        <v>6680</v>
      </c>
    </row>
    <row r="4101" spans="1:1" x14ac:dyDescent="0.25">
      <c r="A4101" s="19" t="s">
        <v>6681</v>
      </c>
    </row>
    <row r="4102" spans="1:1" x14ac:dyDescent="0.25">
      <c r="A4102" s="19" t="s">
        <v>6682</v>
      </c>
    </row>
    <row r="4103" spans="1:1" x14ac:dyDescent="0.25">
      <c r="A4103" s="19" t="s">
        <v>6683</v>
      </c>
    </row>
    <row r="4104" spans="1:1" x14ac:dyDescent="0.25">
      <c r="A4104" s="19" t="s">
        <v>6684</v>
      </c>
    </row>
    <row r="4105" spans="1:1" x14ac:dyDescent="0.25">
      <c r="A4105" s="19" t="s">
        <v>6685</v>
      </c>
    </row>
    <row r="4106" spans="1:1" x14ac:dyDescent="0.25">
      <c r="A4106" s="19" t="s">
        <v>6686</v>
      </c>
    </row>
    <row r="4107" spans="1:1" x14ac:dyDescent="0.25">
      <c r="A4107" s="19" t="s">
        <v>6687</v>
      </c>
    </row>
    <row r="4108" spans="1:1" x14ac:dyDescent="0.25">
      <c r="A4108" s="19" t="s">
        <v>6688</v>
      </c>
    </row>
    <row r="4109" spans="1:1" x14ac:dyDescent="0.25">
      <c r="A4109" s="19" t="s">
        <v>6689</v>
      </c>
    </row>
    <row r="4110" spans="1:1" x14ac:dyDescent="0.25">
      <c r="A4110" s="19" t="s">
        <v>6690</v>
      </c>
    </row>
    <row r="4111" spans="1:1" x14ac:dyDescent="0.25">
      <c r="A4111" s="19" t="s">
        <v>6691</v>
      </c>
    </row>
    <row r="4112" spans="1:1" x14ac:dyDescent="0.25">
      <c r="A4112" s="19" t="s">
        <v>6692</v>
      </c>
    </row>
    <row r="4113" spans="1:1" x14ac:dyDescent="0.25">
      <c r="A4113" s="19" t="s">
        <v>6693</v>
      </c>
    </row>
    <row r="4114" spans="1:1" x14ac:dyDescent="0.25">
      <c r="A4114" s="19" t="s">
        <v>6694</v>
      </c>
    </row>
    <row r="4115" spans="1:1" x14ac:dyDescent="0.25">
      <c r="A4115" s="19" t="s">
        <v>6695</v>
      </c>
    </row>
    <row r="4116" spans="1:1" x14ac:dyDescent="0.25">
      <c r="A4116" s="19" t="s">
        <v>6696</v>
      </c>
    </row>
    <row r="4117" spans="1:1" x14ac:dyDescent="0.25">
      <c r="A4117" s="19" t="s">
        <v>6697</v>
      </c>
    </row>
    <row r="4118" spans="1:1" x14ac:dyDescent="0.25">
      <c r="A4118" s="19" t="s">
        <v>6698</v>
      </c>
    </row>
    <row r="4119" spans="1:1" x14ac:dyDescent="0.25">
      <c r="A4119" s="19" t="s">
        <v>6699</v>
      </c>
    </row>
    <row r="4120" spans="1:1" x14ac:dyDescent="0.25">
      <c r="A4120" s="19" t="s">
        <v>6700</v>
      </c>
    </row>
    <row r="4121" spans="1:1" x14ac:dyDescent="0.25">
      <c r="A4121" s="19" t="s">
        <v>6701</v>
      </c>
    </row>
    <row r="4122" spans="1:1" x14ac:dyDescent="0.25">
      <c r="A4122" s="19" t="s">
        <v>6702</v>
      </c>
    </row>
    <row r="4123" spans="1:1" x14ac:dyDescent="0.25">
      <c r="A4123" s="19" t="s">
        <v>6703</v>
      </c>
    </row>
    <row r="4124" spans="1:1" x14ac:dyDescent="0.25">
      <c r="A4124" s="19" t="s">
        <v>6704</v>
      </c>
    </row>
    <row r="4125" spans="1:1" x14ac:dyDescent="0.25">
      <c r="A4125" s="19" t="s">
        <v>6705</v>
      </c>
    </row>
    <row r="4126" spans="1:1" x14ac:dyDescent="0.25">
      <c r="A4126" s="19" t="s">
        <v>6706</v>
      </c>
    </row>
    <row r="4127" spans="1:1" x14ac:dyDescent="0.25">
      <c r="A4127" s="19" t="s">
        <v>6707</v>
      </c>
    </row>
    <row r="4128" spans="1:1" x14ac:dyDescent="0.25">
      <c r="A4128" s="19" t="s">
        <v>6708</v>
      </c>
    </row>
    <row r="4129" spans="1:1" x14ac:dyDescent="0.25">
      <c r="A4129" s="19" t="s">
        <v>6709</v>
      </c>
    </row>
    <row r="4130" spans="1:1" x14ac:dyDescent="0.25">
      <c r="A4130" s="19" t="s">
        <v>6710</v>
      </c>
    </row>
    <row r="4131" spans="1:1" x14ac:dyDescent="0.25">
      <c r="A4131" s="19" t="s">
        <v>6711</v>
      </c>
    </row>
    <row r="4132" spans="1:1" x14ac:dyDescent="0.25">
      <c r="A4132" s="19" t="s">
        <v>6712</v>
      </c>
    </row>
    <row r="4133" spans="1:1" x14ac:dyDescent="0.25">
      <c r="A4133" s="19" t="s">
        <v>6713</v>
      </c>
    </row>
    <row r="4134" spans="1:1" x14ac:dyDescent="0.25">
      <c r="A4134" s="19" t="s">
        <v>6714</v>
      </c>
    </row>
    <row r="4135" spans="1:1" x14ac:dyDescent="0.25">
      <c r="A4135" s="19" t="s">
        <v>6715</v>
      </c>
    </row>
    <row r="4136" spans="1:1" x14ac:dyDescent="0.25">
      <c r="A4136" s="19" t="s">
        <v>6716</v>
      </c>
    </row>
    <row r="4137" spans="1:1" x14ac:dyDescent="0.25">
      <c r="A4137" s="19" t="s">
        <v>6717</v>
      </c>
    </row>
    <row r="4138" spans="1:1" x14ac:dyDescent="0.25">
      <c r="A4138" s="19" t="s">
        <v>6718</v>
      </c>
    </row>
    <row r="4139" spans="1:1" x14ac:dyDescent="0.25">
      <c r="A4139" s="19" t="s">
        <v>6719</v>
      </c>
    </row>
    <row r="4140" spans="1:1" x14ac:dyDescent="0.25">
      <c r="A4140" s="19" t="s">
        <v>6720</v>
      </c>
    </row>
    <row r="4141" spans="1:1" x14ac:dyDescent="0.25">
      <c r="A4141" s="19" t="s">
        <v>6721</v>
      </c>
    </row>
    <row r="4142" spans="1:1" x14ac:dyDescent="0.25">
      <c r="A4142" s="19" t="s">
        <v>6722</v>
      </c>
    </row>
    <row r="4143" spans="1:1" x14ac:dyDescent="0.25">
      <c r="A4143" s="19" t="s">
        <v>6723</v>
      </c>
    </row>
    <row r="4144" spans="1:1" x14ac:dyDescent="0.25">
      <c r="A4144" s="19" t="s">
        <v>6724</v>
      </c>
    </row>
    <row r="4145" spans="1:1" x14ac:dyDescent="0.25">
      <c r="A4145" s="19" t="s">
        <v>6725</v>
      </c>
    </row>
    <row r="4146" spans="1:1" x14ac:dyDescent="0.25">
      <c r="A4146" s="19" t="s">
        <v>6726</v>
      </c>
    </row>
    <row r="4147" spans="1:1" x14ac:dyDescent="0.25">
      <c r="A4147" s="19" t="s">
        <v>6727</v>
      </c>
    </row>
    <row r="4148" spans="1:1" x14ac:dyDescent="0.25">
      <c r="A4148" s="19" t="s">
        <v>6728</v>
      </c>
    </row>
    <row r="4149" spans="1:1" x14ac:dyDescent="0.25">
      <c r="A4149" s="19" t="s">
        <v>6729</v>
      </c>
    </row>
    <row r="4150" spans="1:1" x14ac:dyDescent="0.25">
      <c r="A4150" s="19" t="s">
        <v>6730</v>
      </c>
    </row>
    <row r="4151" spans="1:1" x14ac:dyDescent="0.25">
      <c r="A4151" s="19" t="s">
        <v>6731</v>
      </c>
    </row>
    <row r="4152" spans="1:1" x14ac:dyDescent="0.25">
      <c r="A4152" s="19" t="s">
        <v>6732</v>
      </c>
    </row>
    <row r="4153" spans="1:1" x14ac:dyDescent="0.25">
      <c r="A4153" s="19" t="s">
        <v>6733</v>
      </c>
    </row>
    <row r="4154" spans="1:1" x14ac:dyDescent="0.25">
      <c r="A4154" s="19" t="s">
        <v>6734</v>
      </c>
    </row>
    <row r="4155" spans="1:1" x14ac:dyDescent="0.25">
      <c r="A4155" s="19" t="s">
        <v>6735</v>
      </c>
    </row>
    <row r="4156" spans="1:1" x14ac:dyDescent="0.25">
      <c r="A4156" s="19" t="s">
        <v>6736</v>
      </c>
    </row>
    <row r="4157" spans="1:1" x14ac:dyDescent="0.25">
      <c r="A4157" s="19" t="s">
        <v>6737</v>
      </c>
    </row>
    <row r="4158" spans="1:1" x14ac:dyDescent="0.25">
      <c r="A4158" s="19" t="s">
        <v>6738</v>
      </c>
    </row>
    <row r="4159" spans="1:1" x14ac:dyDescent="0.25">
      <c r="A4159" s="19" t="s">
        <v>6739</v>
      </c>
    </row>
    <row r="4160" spans="1:1" x14ac:dyDescent="0.25">
      <c r="A4160" s="19" t="s">
        <v>6740</v>
      </c>
    </row>
    <row r="4161" spans="1:1" x14ac:dyDescent="0.25">
      <c r="A4161" s="19" t="s">
        <v>6741</v>
      </c>
    </row>
    <row r="4162" spans="1:1" x14ac:dyDescent="0.25">
      <c r="A4162" s="19" t="s">
        <v>6742</v>
      </c>
    </row>
    <row r="4163" spans="1:1" x14ac:dyDescent="0.25">
      <c r="A4163" s="19" t="s">
        <v>6743</v>
      </c>
    </row>
    <row r="4164" spans="1:1" x14ac:dyDescent="0.25">
      <c r="A4164" s="19" t="s">
        <v>6744</v>
      </c>
    </row>
    <row r="4165" spans="1:1" x14ac:dyDescent="0.25">
      <c r="A4165" s="19" t="s">
        <v>6745</v>
      </c>
    </row>
    <row r="4166" spans="1:1" x14ac:dyDescent="0.25">
      <c r="A4166" s="19" t="s">
        <v>6746</v>
      </c>
    </row>
    <row r="4167" spans="1:1" x14ac:dyDescent="0.25">
      <c r="A4167" s="19" t="s">
        <v>6747</v>
      </c>
    </row>
    <row r="4168" spans="1:1" x14ac:dyDescent="0.25">
      <c r="A4168" s="19" t="s">
        <v>6748</v>
      </c>
    </row>
    <row r="4169" spans="1:1" x14ac:dyDescent="0.25">
      <c r="A4169" s="19" t="s">
        <v>6749</v>
      </c>
    </row>
    <row r="4170" spans="1:1" x14ac:dyDescent="0.25">
      <c r="A4170" s="19" t="s">
        <v>6750</v>
      </c>
    </row>
    <row r="4171" spans="1:1" x14ac:dyDescent="0.25">
      <c r="A4171" s="19" t="s">
        <v>6751</v>
      </c>
    </row>
    <row r="4172" spans="1:1" x14ac:dyDescent="0.25">
      <c r="A4172" s="19" t="s">
        <v>6752</v>
      </c>
    </row>
    <row r="4173" spans="1:1" x14ac:dyDescent="0.25">
      <c r="A4173" s="19" t="s">
        <v>6753</v>
      </c>
    </row>
    <row r="4174" spans="1:1" x14ac:dyDescent="0.25">
      <c r="A4174" s="19" t="s">
        <v>6754</v>
      </c>
    </row>
    <row r="4175" spans="1:1" x14ac:dyDescent="0.25">
      <c r="A4175" s="19" t="s">
        <v>6755</v>
      </c>
    </row>
    <row r="4176" spans="1:1" x14ac:dyDescent="0.25">
      <c r="A4176" s="19" t="s">
        <v>6756</v>
      </c>
    </row>
    <row r="4177" spans="1:1" x14ac:dyDescent="0.25">
      <c r="A4177" s="19" t="s">
        <v>6757</v>
      </c>
    </row>
    <row r="4178" spans="1:1" x14ac:dyDescent="0.25">
      <c r="A4178" s="19" t="s">
        <v>6758</v>
      </c>
    </row>
    <row r="4179" spans="1:1" x14ac:dyDescent="0.25">
      <c r="A4179" s="19" t="s">
        <v>6759</v>
      </c>
    </row>
    <row r="4180" spans="1:1" x14ac:dyDescent="0.25">
      <c r="A4180" s="19" t="s">
        <v>6760</v>
      </c>
    </row>
    <row r="4181" spans="1:1" x14ac:dyDescent="0.25">
      <c r="A4181" s="19" t="s">
        <v>6761</v>
      </c>
    </row>
    <row r="4182" spans="1:1" x14ac:dyDescent="0.25">
      <c r="A4182" s="19" t="s">
        <v>6762</v>
      </c>
    </row>
    <row r="4183" spans="1:1" x14ac:dyDescent="0.25">
      <c r="A4183" s="19" t="s">
        <v>6763</v>
      </c>
    </row>
    <row r="4184" spans="1:1" x14ac:dyDescent="0.25">
      <c r="A4184" s="19" t="s">
        <v>6764</v>
      </c>
    </row>
    <row r="4185" spans="1:1" x14ac:dyDescent="0.25">
      <c r="A4185" s="19" t="s">
        <v>6765</v>
      </c>
    </row>
    <row r="4186" spans="1:1" x14ac:dyDescent="0.25">
      <c r="A4186" s="19" t="s">
        <v>6766</v>
      </c>
    </row>
    <row r="4187" spans="1:1" x14ac:dyDescent="0.25">
      <c r="A4187" s="19" t="s">
        <v>6767</v>
      </c>
    </row>
    <row r="4188" spans="1:1" x14ac:dyDescent="0.25">
      <c r="A4188" s="19" t="s">
        <v>6768</v>
      </c>
    </row>
    <row r="4189" spans="1:1" x14ac:dyDescent="0.25">
      <c r="A4189" s="19" t="s">
        <v>6769</v>
      </c>
    </row>
    <row r="4190" spans="1:1" x14ac:dyDescent="0.25">
      <c r="A4190" s="19" t="s">
        <v>6770</v>
      </c>
    </row>
    <row r="4191" spans="1:1" x14ac:dyDescent="0.25">
      <c r="A4191" s="19" t="s">
        <v>6771</v>
      </c>
    </row>
    <row r="4192" spans="1:1" x14ac:dyDescent="0.25">
      <c r="A4192" s="19" t="s">
        <v>6772</v>
      </c>
    </row>
    <row r="4193" spans="1:1" x14ac:dyDescent="0.25">
      <c r="A4193" s="19" t="s">
        <v>6773</v>
      </c>
    </row>
    <row r="4194" spans="1:1" x14ac:dyDescent="0.25">
      <c r="A4194" s="19" t="s">
        <v>6774</v>
      </c>
    </row>
    <row r="4195" spans="1:1" x14ac:dyDescent="0.25">
      <c r="A4195" s="19" t="s">
        <v>6775</v>
      </c>
    </row>
    <row r="4196" spans="1:1" x14ac:dyDescent="0.25">
      <c r="A4196" s="19" t="s">
        <v>6776</v>
      </c>
    </row>
    <row r="4197" spans="1:1" x14ac:dyDescent="0.25">
      <c r="A4197" s="19" t="s">
        <v>6777</v>
      </c>
    </row>
    <row r="4198" spans="1:1" x14ac:dyDescent="0.25">
      <c r="A4198" s="19" t="s">
        <v>6778</v>
      </c>
    </row>
    <row r="4199" spans="1:1" x14ac:dyDescent="0.25">
      <c r="A4199" s="19" t="s">
        <v>6779</v>
      </c>
    </row>
    <row r="4200" spans="1:1" x14ac:dyDescent="0.25">
      <c r="A4200" s="19" t="s">
        <v>6780</v>
      </c>
    </row>
    <row r="4201" spans="1:1" x14ac:dyDescent="0.25">
      <c r="A4201" s="19" t="s">
        <v>6781</v>
      </c>
    </row>
    <row r="4202" spans="1:1" x14ac:dyDescent="0.25">
      <c r="A4202" s="19" t="s">
        <v>6782</v>
      </c>
    </row>
    <row r="4203" spans="1:1" x14ac:dyDescent="0.25">
      <c r="A4203" s="19" t="s">
        <v>6783</v>
      </c>
    </row>
    <row r="4204" spans="1:1" x14ac:dyDescent="0.25">
      <c r="A4204" s="19" t="s">
        <v>6784</v>
      </c>
    </row>
    <row r="4205" spans="1:1" x14ac:dyDescent="0.25">
      <c r="A4205" s="19" t="s">
        <v>6785</v>
      </c>
    </row>
    <row r="4206" spans="1:1" x14ac:dyDescent="0.25">
      <c r="A4206" s="19" t="s">
        <v>6786</v>
      </c>
    </row>
    <row r="4207" spans="1:1" x14ac:dyDescent="0.25">
      <c r="A4207" s="19" t="s">
        <v>6787</v>
      </c>
    </row>
    <row r="4208" spans="1:1" x14ac:dyDescent="0.25">
      <c r="A4208" s="19" t="s">
        <v>6788</v>
      </c>
    </row>
    <row r="4209" spans="1:1" x14ac:dyDescent="0.25">
      <c r="A4209" s="19" t="s">
        <v>6789</v>
      </c>
    </row>
    <row r="4210" spans="1:1" x14ac:dyDescent="0.25">
      <c r="A4210" s="19" t="s">
        <v>6790</v>
      </c>
    </row>
    <row r="4211" spans="1:1" x14ac:dyDescent="0.25">
      <c r="A4211" s="19" t="s">
        <v>6791</v>
      </c>
    </row>
    <row r="4212" spans="1:1" x14ac:dyDescent="0.25">
      <c r="A4212" s="19" t="s">
        <v>6792</v>
      </c>
    </row>
    <row r="4213" spans="1:1" x14ac:dyDescent="0.25">
      <c r="A4213" s="19" t="s">
        <v>6793</v>
      </c>
    </row>
    <row r="4214" spans="1:1" x14ac:dyDescent="0.25">
      <c r="A4214" s="19" t="s">
        <v>6794</v>
      </c>
    </row>
    <row r="4215" spans="1:1" x14ac:dyDescent="0.25">
      <c r="A4215" s="19" t="s">
        <v>6795</v>
      </c>
    </row>
    <row r="4216" spans="1:1" x14ac:dyDescent="0.25">
      <c r="A4216" s="19" t="s">
        <v>6796</v>
      </c>
    </row>
    <row r="4217" spans="1:1" x14ac:dyDescent="0.25">
      <c r="A4217" s="19" t="s">
        <v>6797</v>
      </c>
    </row>
    <row r="4218" spans="1:1" x14ac:dyDescent="0.25">
      <c r="A4218" s="19" t="s">
        <v>6798</v>
      </c>
    </row>
    <row r="4219" spans="1:1" x14ac:dyDescent="0.25">
      <c r="A4219" s="19" t="s">
        <v>6799</v>
      </c>
    </row>
    <row r="4220" spans="1:1" x14ac:dyDescent="0.25">
      <c r="A4220" s="19" t="s">
        <v>6800</v>
      </c>
    </row>
    <row r="4221" spans="1:1" x14ac:dyDescent="0.25">
      <c r="A4221" s="19" t="s">
        <v>6801</v>
      </c>
    </row>
    <row r="4222" spans="1:1" x14ac:dyDescent="0.25">
      <c r="A4222" s="19" t="s">
        <v>6802</v>
      </c>
    </row>
    <row r="4223" spans="1:1" x14ac:dyDescent="0.25">
      <c r="A4223" s="19" t="s">
        <v>6803</v>
      </c>
    </row>
    <row r="4224" spans="1:1" x14ac:dyDescent="0.25">
      <c r="A4224" s="19" t="s">
        <v>6804</v>
      </c>
    </row>
    <row r="4225" spans="1:1" x14ac:dyDescent="0.25">
      <c r="A4225" s="19" t="s">
        <v>6805</v>
      </c>
    </row>
    <row r="4226" spans="1:1" x14ac:dyDescent="0.25">
      <c r="A4226" s="19" t="s">
        <v>6806</v>
      </c>
    </row>
    <row r="4227" spans="1:1" x14ac:dyDescent="0.25">
      <c r="A4227" s="19" t="s">
        <v>6807</v>
      </c>
    </row>
    <row r="4228" spans="1:1" x14ac:dyDescent="0.25">
      <c r="A4228" s="19" t="s">
        <v>6808</v>
      </c>
    </row>
    <row r="4229" spans="1:1" x14ac:dyDescent="0.25">
      <c r="A4229" s="19" t="s">
        <v>6809</v>
      </c>
    </row>
    <row r="4230" spans="1:1" x14ac:dyDescent="0.25">
      <c r="A4230" s="19" t="s">
        <v>6810</v>
      </c>
    </row>
    <row r="4231" spans="1:1" x14ac:dyDescent="0.25">
      <c r="A4231" s="19" t="s">
        <v>6811</v>
      </c>
    </row>
    <row r="4232" spans="1:1" x14ac:dyDescent="0.25">
      <c r="A4232" s="19" t="s">
        <v>6812</v>
      </c>
    </row>
    <row r="4233" spans="1:1" x14ac:dyDescent="0.25">
      <c r="A4233" s="19" t="s">
        <v>6813</v>
      </c>
    </row>
    <row r="4234" spans="1:1" x14ac:dyDescent="0.25">
      <c r="A4234" s="19" t="s">
        <v>6814</v>
      </c>
    </row>
    <row r="4235" spans="1:1" x14ac:dyDescent="0.25">
      <c r="A4235" s="19" t="s">
        <v>6815</v>
      </c>
    </row>
    <row r="4236" spans="1:1" x14ac:dyDescent="0.25">
      <c r="A4236" s="19" t="s">
        <v>6816</v>
      </c>
    </row>
    <row r="4237" spans="1:1" x14ac:dyDescent="0.25">
      <c r="A4237" s="19" t="s">
        <v>6817</v>
      </c>
    </row>
    <row r="4238" spans="1:1" x14ac:dyDescent="0.25">
      <c r="A4238" s="19" t="s">
        <v>6818</v>
      </c>
    </row>
    <row r="4239" spans="1:1" x14ac:dyDescent="0.25">
      <c r="A4239" s="19" t="s">
        <v>6819</v>
      </c>
    </row>
    <row r="4240" spans="1:1" x14ac:dyDescent="0.25">
      <c r="A4240" s="19" t="s">
        <v>6820</v>
      </c>
    </row>
    <row r="4241" spans="1:1" x14ac:dyDescent="0.25">
      <c r="A4241" s="19" t="s">
        <v>6821</v>
      </c>
    </row>
    <row r="4242" spans="1:1" x14ac:dyDescent="0.25">
      <c r="A4242" s="19" t="s">
        <v>6822</v>
      </c>
    </row>
    <row r="4243" spans="1:1" x14ac:dyDescent="0.25">
      <c r="A4243" s="19" t="s">
        <v>6823</v>
      </c>
    </row>
    <row r="4244" spans="1:1" x14ac:dyDescent="0.25">
      <c r="A4244" s="19" t="s">
        <v>6824</v>
      </c>
    </row>
    <row r="4245" spans="1:1" x14ac:dyDescent="0.25">
      <c r="A4245" s="19" t="s">
        <v>6825</v>
      </c>
    </row>
    <row r="4246" spans="1:1" x14ac:dyDescent="0.25">
      <c r="A4246" s="19" t="s">
        <v>6826</v>
      </c>
    </row>
    <row r="4247" spans="1:1" x14ac:dyDescent="0.25">
      <c r="A4247" s="19" t="s">
        <v>6827</v>
      </c>
    </row>
    <row r="4248" spans="1:1" x14ac:dyDescent="0.25">
      <c r="A4248" s="19" t="s">
        <v>6828</v>
      </c>
    </row>
    <row r="4249" spans="1:1" x14ac:dyDescent="0.25">
      <c r="A4249" s="19" t="s">
        <v>6829</v>
      </c>
    </row>
    <row r="4250" spans="1:1" x14ac:dyDescent="0.25">
      <c r="A4250" s="19" t="s">
        <v>6830</v>
      </c>
    </row>
    <row r="4251" spans="1:1" x14ac:dyDescent="0.25">
      <c r="A4251" s="19" t="s">
        <v>6831</v>
      </c>
    </row>
    <row r="4252" spans="1:1" x14ac:dyDescent="0.25">
      <c r="A4252" s="19" t="s">
        <v>6832</v>
      </c>
    </row>
    <row r="4253" spans="1:1" x14ac:dyDescent="0.25">
      <c r="A4253" s="19" t="s">
        <v>6833</v>
      </c>
    </row>
    <row r="4254" spans="1:1" x14ac:dyDescent="0.25">
      <c r="A4254" s="19" t="s">
        <v>6833</v>
      </c>
    </row>
    <row r="4255" spans="1:1" x14ac:dyDescent="0.25">
      <c r="A4255" s="19" t="s">
        <v>6834</v>
      </c>
    </row>
    <row r="4256" spans="1:1" x14ac:dyDescent="0.25">
      <c r="A4256" s="19" t="s">
        <v>6835</v>
      </c>
    </row>
    <row r="4257" spans="1:1" x14ac:dyDescent="0.25">
      <c r="A4257" s="19" t="s">
        <v>6836</v>
      </c>
    </row>
    <row r="4258" spans="1:1" x14ac:dyDescent="0.25">
      <c r="A4258" s="19" t="s">
        <v>6837</v>
      </c>
    </row>
    <row r="4259" spans="1:1" x14ac:dyDescent="0.25">
      <c r="A4259" s="19" t="s">
        <v>6838</v>
      </c>
    </row>
    <row r="4260" spans="1:1" x14ac:dyDescent="0.25">
      <c r="A4260" s="19" t="s">
        <v>6839</v>
      </c>
    </row>
    <row r="4261" spans="1:1" x14ac:dyDescent="0.25">
      <c r="A4261" s="19" t="s">
        <v>6840</v>
      </c>
    </row>
    <row r="4262" spans="1:1" x14ac:dyDescent="0.25">
      <c r="A4262" s="19" t="s">
        <v>6841</v>
      </c>
    </row>
    <row r="4263" spans="1:1" x14ac:dyDescent="0.25">
      <c r="A4263" s="19" t="s">
        <v>6842</v>
      </c>
    </row>
    <row r="4264" spans="1:1" x14ac:dyDescent="0.25">
      <c r="A4264" s="19" t="s">
        <v>6843</v>
      </c>
    </row>
    <row r="4265" spans="1:1" x14ac:dyDescent="0.25">
      <c r="A4265" s="19" t="s">
        <v>6844</v>
      </c>
    </row>
    <row r="4266" spans="1:1" x14ac:dyDescent="0.25">
      <c r="A4266" s="19" t="s">
        <v>6845</v>
      </c>
    </row>
    <row r="4267" spans="1:1" x14ac:dyDescent="0.25">
      <c r="A4267" s="19" t="s">
        <v>6846</v>
      </c>
    </row>
    <row r="4268" spans="1:1" x14ac:dyDescent="0.25">
      <c r="A4268" s="19" t="s">
        <v>6847</v>
      </c>
    </row>
    <row r="4269" spans="1:1" x14ac:dyDescent="0.25">
      <c r="A4269" s="19" t="s">
        <v>6848</v>
      </c>
    </row>
    <row r="4270" spans="1:1" x14ac:dyDescent="0.25">
      <c r="A4270" s="19" t="s">
        <v>6849</v>
      </c>
    </row>
    <row r="4271" spans="1:1" x14ac:dyDescent="0.25">
      <c r="A4271" s="19" t="s">
        <v>6850</v>
      </c>
    </row>
    <row r="4272" spans="1:1" x14ac:dyDescent="0.25">
      <c r="A4272" s="19" t="s">
        <v>6851</v>
      </c>
    </row>
    <row r="4273" spans="1:1" x14ac:dyDescent="0.25">
      <c r="A4273" s="19" t="s">
        <v>6852</v>
      </c>
    </row>
    <row r="4274" spans="1:1" x14ac:dyDescent="0.25">
      <c r="A4274" s="19" t="s">
        <v>6853</v>
      </c>
    </row>
    <row r="4275" spans="1:1" x14ac:dyDescent="0.25">
      <c r="A4275" s="19" t="s">
        <v>6854</v>
      </c>
    </row>
    <row r="4276" spans="1:1" x14ac:dyDescent="0.25">
      <c r="A4276" s="19" t="s">
        <v>6855</v>
      </c>
    </row>
    <row r="4277" spans="1:1" x14ac:dyDescent="0.25">
      <c r="A4277" s="19" t="s">
        <v>6856</v>
      </c>
    </row>
    <row r="4278" spans="1:1" x14ac:dyDescent="0.25">
      <c r="A4278" s="19" t="s">
        <v>6857</v>
      </c>
    </row>
    <row r="4279" spans="1:1" x14ac:dyDescent="0.25">
      <c r="A4279" s="19" t="s">
        <v>6858</v>
      </c>
    </row>
    <row r="4280" spans="1:1" x14ac:dyDescent="0.25">
      <c r="A4280" s="19" t="s">
        <v>6859</v>
      </c>
    </row>
    <row r="4281" spans="1:1" x14ac:dyDescent="0.25">
      <c r="A4281" s="19" t="s">
        <v>6860</v>
      </c>
    </row>
    <row r="4282" spans="1:1" x14ac:dyDescent="0.25">
      <c r="A4282" s="19" t="s">
        <v>6861</v>
      </c>
    </row>
    <row r="4283" spans="1:1" x14ac:dyDescent="0.25">
      <c r="A4283" s="19" t="s">
        <v>6862</v>
      </c>
    </row>
    <row r="4284" spans="1:1" x14ac:dyDescent="0.25">
      <c r="A4284" s="19" t="s">
        <v>6863</v>
      </c>
    </row>
    <row r="4285" spans="1:1" x14ac:dyDescent="0.25">
      <c r="A4285" s="19" t="s">
        <v>6864</v>
      </c>
    </row>
    <row r="4286" spans="1:1" x14ac:dyDescent="0.25">
      <c r="A4286" s="19" t="s">
        <v>6865</v>
      </c>
    </row>
    <row r="4287" spans="1:1" x14ac:dyDescent="0.25">
      <c r="A4287" s="19" t="s">
        <v>6866</v>
      </c>
    </row>
    <row r="4288" spans="1:1" x14ac:dyDescent="0.25">
      <c r="A4288" s="19" t="s">
        <v>6867</v>
      </c>
    </row>
    <row r="4289" spans="1:1" x14ac:dyDescent="0.25">
      <c r="A4289" s="19" t="s">
        <v>6868</v>
      </c>
    </row>
    <row r="4290" spans="1:1" x14ac:dyDescent="0.25">
      <c r="A4290" s="19" t="s">
        <v>6869</v>
      </c>
    </row>
    <row r="4291" spans="1:1" x14ac:dyDescent="0.25">
      <c r="A4291" s="19" t="s">
        <v>6870</v>
      </c>
    </row>
    <row r="4292" spans="1:1" x14ac:dyDescent="0.25">
      <c r="A4292" s="19" t="s">
        <v>6871</v>
      </c>
    </row>
    <row r="4293" spans="1:1" x14ac:dyDescent="0.25">
      <c r="A4293" s="19" t="s">
        <v>6872</v>
      </c>
    </row>
    <row r="4294" spans="1:1" x14ac:dyDescent="0.25">
      <c r="A4294" s="19" t="s">
        <v>6873</v>
      </c>
    </row>
    <row r="4295" spans="1:1" x14ac:dyDescent="0.25">
      <c r="A4295" s="19" t="s">
        <v>6874</v>
      </c>
    </row>
    <row r="4296" spans="1:1" x14ac:dyDescent="0.25">
      <c r="A4296" s="19" t="s">
        <v>6875</v>
      </c>
    </row>
    <row r="4297" spans="1:1" x14ac:dyDescent="0.25">
      <c r="A4297" s="19" t="s">
        <v>6876</v>
      </c>
    </row>
    <row r="4298" spans="1:1" x14ac:dyDescent="0.25">
      <c r="A4298" s="19" t="s">
        <v>6877</v>
      </c>
    </row>
    <row r="4299" spans="1:1" x14ac:dyDescent="0.25">
      <c r="A4299" s="19" t="s">
        <v>6878</v>
      </c>
    </row>
    <row r="4300" spans="1:1" x14ac:dyDescent="0.25">
      <c r="A4300" s="19" t="s">
        <v>6879</v>
      </c>
    </row>
    <row r="4301" spans="1:1" x14ac:dyDescent="0.25">
      <c r="A4301" s="19" t="s">
        <v>6880</v>
      </c>
    </row>
    <row r="4302" spans="1:1" x14ac:dyDescent="0.25">
      <c r="A4302" s="19" t="s">
        <v>6881</v>
      </c>
    </row>
    <row r="4303" spans="1:1" x14ac:dyDescent="0.25">
      <c r="A4303" s="19" t="s">
        <v>6882</v>
      </c>
    </row>
    <row r="4304" spans="1:1" x14ac:dyDescent="0.25">
      <c r="A4304" s="19" t="s">
        <v>6883</v>
      </c>
    </row>
    <row r="4305" spans="1:1" x14ac:dyDescent="0.25">
      <c r="A4305" s="19" t="s">
        <v>6884</v>
      </c>
    </row>
    <row r="4306" spans="1:1" x14ac:dyDescent="0.25">
      <c r="A4306" s="19" t="s">
        <v>6885</v>
      </c>
    </row>
    <row r="4307" spans="1:1" x14ac:dyDescent="0.25">
      <c r="A4307" s="19" t="s">
        <v>6886</v>
      </c>
    </row>
    <row r="4308" spans="1:1" x14ac:dyDescent="0.25">
      <c r="A4308" s="19" t="s">
        <v>6887</v>
      </c>
    </row>
    <row r="4309" spans="1:1" x14ac:dyDescent="0.25">
      <c r="A4309" s="19" t="s">
        <v>6888</v>
      </c>
    </row>
    <row r="4310" spans="1:1" x14ac:dyDescent="0.25">
      <c r="A4310" s="19" t="s">
        <v>6889</v>
      </c>
    </row>
    <row r="4311" spans="1:1" x14ac:dyDescent="0.25">
      <c r="A4311" s="19" t="s">
        <v>6890</v>
      </c>
    </row>
    <row r="4312" spans="1:1" x14ac:dyDescent="0.25">
      <c r="A4312" s="19" t="s">
        <v>6891</v>
      </c>
    </row>
    <row r="4313" spans="1:1" x14ac:dyDescent="0.25">
      <c r="A4313" s="19" t="s">
        <v>6892</v>
      </c>
    </row>
    <row r="4314" spans="1:1" x14ac:dyDescent="0.25">
      <c r="A4314" s="19" t="s">
        <v>6893</v>
      </c>
    </row>
    <row r="4315" spans="1:1" x14ac:dyDescent="0.25">
      <c r="A4315" s="19" t="s">
        <v>6894</v>
      </c>
    </row>
    <row r="4316" spans="1:1" x14ac:dyDescent="0.25">
      <c r="A4316" s="19" t="s">
        <v>6895</v>
      </c>
    </row>
    <row r="4317" spans="1:1" x14ac:dyDescent="0.25">
      <c r="A4317" s="19" t="s">
        <v>6896</v>
      </c>
    </row>
    <row r="4318" spans="1:1" x14ac:dyDescent="0.25">
      <c r="A4318" s="19" t="s">
        <v>6897</v>
      </c>
    </row>
    <row r="4319" spans="1:1" x14ac:dyDescent="0.25">
      <c r="A4319" s="19" t="s">
        <v>6898</v>
      </c>
    </row>
    <row r="4320" spans="1:1" x14ac:dyDescent="0.25">
      <c r="A4320" s="19" t="s">
        <v>6899</v>
      </c>
    </row>
    <row r="4321" spans="1:1" x14ac:dyDescent="0.25">
      <c r="A4321" s="19" t="s">
        <v>6900</v>
      </c>
    </row>
    <row r="4322" spans="1:1" x14ac:dyDescent="0.25">
      <c r="A4322" s="19" t="s">
        <v>6901</v>
      </c>
    </row>
    <row r="4323" spans="1:1" x14ac:dyDescent="0.25">
      <c r="A4323" s="19" t="s">
        <v>6902</v>
      </c>
    </row>
    <row r="4324" spans="1:1" x14ac:dyDescent="0.25">
      <c r="A4324" s="19" t="s">
        <v>6903</v>
      </c>
    </row>
    <row r="4325" spans="1:1" x14ac:dyDescent="0.25">
      <c r="A4325" s="19" t="s">
        <v>6904</v>
      </c>
    </row>
    <row r="4326" spans="1:1" x14ac:dyDescent="0.25">
      <c r="A4326" s="19" t="s">
        <v>6905</v>
      </c>
    </row>
    <row r="4327" spans="1:1" x14ac:dyDescent="0.25">
      <c r="A4327" s="19" t="s">
        <v>6906</v>
      </c>
    </row>
    <row r="4328" spans="1:1" x14ac:dyDescent="0.25">
      <c r="A4328" s="19" t="s">
        <v>6907</v>
      </c>
    </row>
    <row r="4329" spans="1:1" x14ac:dyDescent="0.25">
      <c r="A4329" s="19" t="s">
        <v>6908</v>
      </c>
    </row>
    <row r="4330" spans="1:1" x14ac:dyDescent="0.25">
      <c r="A4330" s="19" t="s">
        <v>6909</v>
      </c>
    </row>
    <row r="4331" spans="1:1" x14ac:dyDescent="0.25">
      <c r="A4331" s="19" t="s">
        <v>6910</v>
      </c>
    </row>
    <row r="4332" spans="1:1" x14ac:dyDescent="0.25">
      <c r="A4332" s="19" t="s">
        <v>6911</v>
      </c>
    </row>
    <row r="4333" spans="1:1" x14ac:dyDescent="0.25">
      <c r="A4333" s="19" t="s">
        <v>6912</v>
      </c>
    </row>
    <row r="4334" spans="1:1" x14ac:dyDescent="0.25">
      <c r="A4334" s="19" t="s">
        <v>6913</v>
      </c>
    </row>
    <row r="4335" spans="1:1" x14ac:dyDescent="0.25">
      <c r="A4335" s="19" t="s">
        <v>6914</v>
      </c>
    </row>
    <row r="4336" spans="1:1" x14ac:dyDescent="0.25">
      <c r="A4336" s="19" t="s">
        <v>6915</v>
      </c>
    </row>
    <row r="4337" spans="1:1" x14ac:dyDescent="0.25">
      <c r="A4337" s="19" t="s">
        <v>6916</v>
      </c>
    </row>
    <row r="4338" spans="1:1" x14ac:dyDescent="0.25">
      <c r="A4338" s="19" t="s">
        <v>6917</v>
      </c>
    </row>
    <row r="4339" spans="1:1" x14ac:dyDescent="0.25">
      <c r="A4339" s="19" t="s">
        <v>6918</v>
      </c>
    </row>
    <row r="4340" spans="1:1" x14ac:dyDescent="0.25">
      <c r="A4340" s="19" t="s">
        <v>6919</v>
      </c>
    </row>
    <row r="4341" spans="1:1" x14ac:dyDescent="0.25">
      <c r="A4341" s="19" t="s">
        <v>6920</v>
      </c>
    </row>
    <row r="4342" spans="1:1" x14ac:dyDescent="0.25">
      <c r="A4342" s="19" t="s">
        <v>6921</v>
      </c>
    </row>
    <row r="4343" spans="1:1" x14ac:dyDescent="0.25">
      <c r="A4343" s="19" t="s">
        <v>6922</v>
      </c>
    </row>
    <row r="4344" spans="1:1" x14ac:dyDescent="0.25">
      <c r="A4344" s="19" t="s">
        <v>6923</v>
      </c>
    </row>
    <row r="4345" spans="1:1" x14ac:dyDescent="0.25">
      <c r="A4345" s="19" t="s">
        <v>6924</v>
      </c>
    </row>
    <row r="4346" spans="1:1" x14ac:dyDescent="0.25">
      <c r="A4346" s="19" t="s">
        <v>6925</v>
      </c>
    </row>
    <row r="4347" spans="1:1" x14ac:dyDescent="0.25">
      <c r="A4347" s="19" t="s">
        <v>6926</v>
      </c>
    </row>
    <row r="4348" spans="1:1" x14ac:dyDescent="0.25">
      <c r="A4348" s="19" t="s">
        <v>6927</v>
      </c>
    </row>
    <row r="4349" spans="1:1" x14ac:dyDescent="0.25">
      <c r="A4349" s="19" t="s">
        <v>6928</v>
      </c>
    </row>
    <row r="4350" spans="1:1" x14ac:dyDescent="0.25">
      <c r="A4350" s="19" t="s">
        <v>6929</v>
      </c>
    </row>
    <row r="4351" spans="1:1" x14ac:dyDescent="0.25">
      <c r="A4351" s="19" t="s">
        <v>6930</v>
      </c>
    </row>
    <row r="4352" spans="1:1" x14ac:dyDescent="0.25">
      <c r="A4352" s="19" t="s">
        <v>6931</v>
      </c>
    </row>
    <row r="4353" spans="1:1" x14ac:dyDescent="0.25">
      <c r="A4353" s="19" t="s">
        <v>6932</v>
      </c>
    </row>
    <row r="4354" spans="1:1" x14ac:dyDescent="0.25">
      <c r="A4354" s="19" t="s">
        <v>6933</v>
      </c>
    </row>
    <row r="4355" spans="1:1" x14ac:dyDescent="0.25">
      <c r="A4355" s="19" t="s">
        <v>6934</v>
      </c>
    </row>
    <row r="4356" spans="1:1" x14ac:dyDescent="0.25">
      <c r="A4356" s="19" t="s">
        <v>6935</v>
      </c>
    </row>
    <row r="4357" spans="1:1" x14ac:dyDescent="0.25">
      <c r="A4357" s="19" t="s">
        <v>6936</v>
      </c>
    </row>
    <row r="4358" spans="1:1" x14ac:dyDescent="0.25">
      <c r="A4358" s="19" t="s">
        <v>6937</v>
      </c>
    </row>
    <row r="4359" spans="1:1" x14ac:dyDescent="0.25">
      <c r="A4359" s="19" t="s">
        <v>6938</v>
      </c>
    </row>
    <row r="4360" spans="1:1" x14ac:dyDescent="0.25">
      <c r="A4360" s="19" t="s">
        <v>6939</v>
      </c>
    </row>
    <row r="4361" spans="1:1" x14ac:dyDescent="0.25">
      <c r="A4361" s="19" t="s">
        <v>6940</v>
      </c>
    </row>
    <row r="4362" spans="1:1" x14ac:dyDescent="0.25">
      <c r="A4362" s="19" t="s">
        <v>6941</v>
      </c>
    </row>
    <row r="4363" spans="1:1" x14ac:dyDescent="0.25">
      <c r="A4363" s="19" t="s">
        <v>6942</v>
      </c>
    </row>
    <row r="4364" spans="1:1" x14ac:dyDescent="0.25">
      <c r="A4364" s="19" t="s">
        <v>6943</v>
      </c>
    </row>
    <row r="4365" spans="1:1" x14ac:dyDescent="0.25">
      <c r="A4365" s="19" t="s">
        <v>6944</v>
      </c>
    </row>
    <row r="4366" spans="1:1" x14ac:dyDescent="0.25">
      <c r="A4366" s="19" t="s">
        <v>6945</v>
      </c>
    </row>
    <row r="4367" spans="1:1" x14ac:dyDescent="0.25">
      <c r="A4367" s="19" t="s">
        <v>6946</v>
      </c>
    </row>
    <row r="4368" spans="1:1" x14ac:dyDescent="0.25">
      <c r="A4368" s="19" t="s">
        <v>6947</v>
      </c>
    </row>
    <row r="4369" spans="1:1" x14ac:dyDescent="0.25">
      <c r="A4369" s="19" t="s">
        <v>6948</v>
      </c>
    </row>
    <row r="4370" spans="1:1" x14ac:dyDescent="0.25">
      <c r="A4370" s="19" t="s">
        <v>6949</v>
      </c>
    </row>
    <row r="4371" spans="1:1" x14ac:dyDescent="0.25">
      <c r="A4371" s="19" t="s">
        <v>6950</v>
      </c>
    </row>
    <row r="4372" spans="1:1" x14ac:dyDescent="0.25">
      <c r="A4372" s="19" t="s">
        <v>6951</v>
      </c>
    </row>
    <row r="4373" spans="1:1" x14ac:dyDescent="0.25">
      <c r="A4373" s="19" t="s">
        <v>6952</v>
      </c>
    </row>
    <row r="4374" spans="1:1" x14ac:dyDescent="0.25">
      <c r="A4374" s="19" t="s">
        <v>6953</v>
      </c>
    </row>
    <row r="4375" spans="1:1" x14ac:dyDescent="0.25">
      <c r="A4375" s="19" t="s">
        <v>6954</v>
      </c>
    </row>
    <row r="4376" spans="1:1" x14ac:dyDescent="0.25">
      <c r="A4376" s="19" t="s">
        <v>6955</v>
      </c>
    </row>
    <row r="4377" spans="1:1" x14ac:dyDescent="0.25">
      <c r="A4377" s="19" t="s">
        <v>6956</v>
      </c>
    </row>
    <row r="4378" spans="1:1" x14ac:dyDescent="0.25">
      <c r="A4378" s="19" t="s">
        <v>6957</v>
      </c>
    </row>
    <row r="4379" spans="1:1" x14ac:dyDescent="0.25">
      <c r="A4379" s="19" t="s">
        <v>6958</v>
      </c>
    </row>
    <row r="4380" spans="1:1" x14ac:dyDescent="0.25">
      <c r="A4380" s="19" t="s">
        <v>6959</v>
      </c>
    </row>
    <row r="4381" spans="1:1" x14ac:dyDescent="0.25">
      <c r="A4381" s="19" t="s">
        <v>6960</v>
      </c>
    </row>
    <row r="4382" spans="1:1" x14ac:dyDescent="0.25">
      <c r="A4382" s="19" t="s">
        <v>6961</v>
      </c>
    </row>
    <row r="4383" spans="1:1" x14ac:dyDescent="0.25">
      <c r="A4383" s="19" t="s">
        <v>6962</v>
      </c>
    </row>
    <row r="4384" spans="1:1" x14ac:dyDescent="0.25">
      <c r="A4384" s="19" t="s">
        <v>6963</v>
      </c>
    </row>
    <row r="4385" spans="1:1" x14ac:dyDescent="0.25">
      <c r="A4385" s="19" t="s">
        <v>6964</v>
      </c>
    </row>
    <row r="4386" spans="1:1" x14ac:dyDescent="0.25">
      <c r="A4386" s="19" t="s">
        <v>6965</v>
      </c>
    </row>
    <row r="4387" spans="1:1" x14ac:dyDescent="0.25">
      <c r="A4387" s="19" t="s">
        <v>6966</v>
      </c>
    </row>
    <row r="4388" spans="1:1" x14ac:dyDescent="0.25">
      <c r="A4388" s="19" t="s">
        <v>6967</v>
      </c>
    </row>
    <row r="4389" spans="1:1" x14ac:dyDescent="0.25">
      <c r="A4389" s="19" t="s">
        <v>6968</v>
      </c>
    </row>
    <row r="4390" spans="1:1" x14ac:dyDescent="0.25">
      <c r="A4390" s="19" t="s">
        <v>6969</v>
      </c>
    </row>
    <row r="4391" spans="1:1" x14ac:dyDescent="0.25">
      <c r="A4391" s="19" t="s">
        <v>6970</v>
      </c>
    </row>
    <row r="4392" spans="1:1" x14ac:dyDescent="0.25">
      <c r="A4392" s="19" t="s">
        <v>6971</v>
      </c>
    </row>
    <row r="4393" spans="1:1" x14ac:dyDescent="0.25">
      <c r="A4393" s="19" t="s">
        <v>6972</v>
      </c>
    </row>
    <row r="4394" spans="1:1" x14ac:dyDescent="0.25">
      <c r="A4394" s="19" t="s">
        <v>6973</v>
      </c>
    </row>
    <row r="4395" spans="1:1" x14ac:dyDescent="0.25">
      <c r="A4395" s="19" t="s">
        <v>6974</v>
      </c>
    </row>
    <row r="4396" spans="1:1" x14ac:dyDescent="0.25">
      <c r="A4396" s="19" t="s">
        <v>6975</v>
      </c>
    </row>
    <row r="4397" spans="1:1" x14ac:dyDescent="0.25">
      <c r="A4397" s="19" t="s">
        <v>6976</v>
      </c>
    </row>
    <row r="4398" spans="1:1" x14ac:dyDescent="0.25">
      <c r="A4398" s="19" t="s">
        <v>6977</v>
      </c>
    </row>
    <row r="4399" spans="1:1" x14ac:dyDescent="0.25">
      <c r="A4399" s="19" t="s">
        <v>6978</v>
      </c>
    </row>
    <row r="4400" spans="1:1" x14ac:dyDescent="0.25">
      <c r="A4400" s="19" t="s">
        <v>6979</v>
      </c>
    </row>
    <row r="4401" spans="1:1" x14ac:dyDescent="0.25">
      <c r="A4401" s="19" t="s">
        <v>6980</v>
      </c>
    </row>
    <row r="4402" spans="1:1" x14ac:dyDescent="0.25">
      <c r="A4402" s="19" t="s">
        <v>6981</v>
      </c>
    </row>
    <row r="4403" spans="1:1" x14ac:dyDescent="0.25">
      <c r="A4403" s="19" t="s">
        <v>6982</v>
      </c>
    </row>
    <row r="4404" spans="1:1" x14ac:dyDescent="0.25">
      <c r="A4404" s="19" t="s">
        <v>6983</v>
      </c>
    </row>
    <row r="4405" spans="1:1" x14ac:dyDescent="0.25">
      <c r="A4405" s="19" t="s">
        <v>6984</v>
      </c>
    </row>
    <row r="4406" spans="1:1" x14ac:dyDescent="0.25">
      <c r="A4406" s="19" t="s">
        <v>6985</v>
      </c>
    </row>
    <row r="4407" spans="1:1" x14ac:dyDescent="0.25">
      <c r="A4407" s="19" t="s">
        <v>6986</v>
      </c>
    </row>
    <row r="4408" spans="1:1" x14ac:dyDescent="0.25">
      <c r="A4408" s="19" t="s">
        <v>6987</v>
      </c>
    </row>
    <row r="4409" spans="1:1" x14ac:dyDescent="0.25">
      <c r="A4409" s="19" t="s">
        <v>6988</v>
      </c>
    </row>
    <row r="4410" spans="1:1" x14ac:dyDescent="0.25">
      <c r="A4410" s="19" t="s">
        <v>6989</v>
      </c>
    </row>
    <row r="4411" spans="1:1" x14ac:dyDescent="0.25">
      <c r="A4411" s="19" t="s">
        <v>6990</v>
      </c>
    </row>
    <row r="4412" spans="1:1" x14ac:dyDescent="0.25">
      <c r="A4412" s="19" t="s">
        <v>6991</v>
      </c>
    </row>
    <row r="4413" spans="1:1" x14ac:dyDescent="0.25">
      <c r="A4413" s="19" t="s">
        <v>6992</v>
      </c>
    </row>
    <row r="4414" spans="1:1" x14ac:dyDescent="0.25">
      <c r="A4414" s="19" t="s">
        <v>6993</v>
      </c>
    </row>
    <row r="4415" spans="1:1" x14ac:dyDescent="0.25">
      <c r="A4415" s="19" t="s">
        <v>6994</v>
      </c>
    </row>
    <row r="4416" spans="1:1" x14ac:dyDescent="0.25">
      <c r="A4416" s="19" t="s">
        <v>6995</v>
      </c>
    </row>
    <row r="4417" spans="1:1" x14ac:dyDescent="0.25">
      <c r="A4417" s="19" t="s">
        <v>6996</v>
      </c>
    </row>
    <row r="4418" spans="1:1" x14ac:dyDescent="0.25">
      <c r="A4418" s="19" t="s">
        <v>6997</v>
      </c>
    </row>
    <row r="4419" spans="1:1" x14ac:dyDescent="0.25">
      <c r="A4419" s="19" t="s">
        <v>6998</v>
      </c>
    </row>
    <row r="4420" spans="1:1" x14ac:dyDescent="0.25">
      <c r="A4420" s="19" t="s">
        <v>6999</v>
      </c>
    </row>
    <row r="4421" spans="1:1" x14ac:dyDescent="0.25">
      <c r="A4421" s="19" t="s">
        <v>7000</v>
      </c>
    </row>
    <row r="4422" spans="1:1" x14ac:dyDescent="0.25">
      <c r="A4422" s="19" t="s">
        <v>7001</v>
      </c>
    </row>
    <row r="4423" spans="1:1" x14ac:dyDescent="0.25">
      <c r="A4423" s="19" t="s">
        <v>7002</v>
      </c>
    </row>
    <row r="4424" spans="1:1" x14ac:dyDescent="0.25">
      <c r="A4424" s="19" t="s">
        <v>7003</v>
      </c>
    </row>
    <row r="4425" spans="1:1" x14ac:dyDescent="0.25">
      <c r="A4425" s="19" t="s">
        <v>7004</v>
      </c>
    </row>
    <row r="4426" spans="1:1" x14ac:dyDescent="0.25">
      <c r="A4426" s="19" t="s">
        <v>7005</v>
      </c>
    </row>
    <row r="4427" spans="1:1" x14ac:dyDescent="0.25">
      <c r="A4427" s="19" t="s">
        <v>7006</v>
      </c>
    </row>
    <row r="4428" spans="1:1" x14ac:dyDescent="0.25">
      <c r="A4428" s="19" t="s">
        <v>7007</v>
      </c>
    </row>
    <row r="4429" spans="1:1" x14ac:dyDescent="0.25">
      <c r="A4429" s="19" t="s">
        <v>7008</v>
      </c>
    </row>
    <row r="4430" spans="1:1" x14ac:dyDescent="0.25">
      <c r="A4430" s="19" t="s">
        <v>7009</v>
      </c>
    </row>
    <row r="4431" spans="1:1" x14ac:dyDescent="0.25">
      <c r="A4431" s="19" t="s">
        <v>7010</v>
      </c>
    </row>
    <row r="4432" spans="1:1" x14ac:dyDescent="0.25">
      <c r="A4432" s="19" t="s">
        <v>7011</v>
      </c>
    </row>
    <row r="4433" spans="1:1" x14ac:dyDescent="0.25">
      <c r="A4433" s="19" t="s">
        <v>7012</v>
      </c>
    </row>
    <row r="4434" spans="1:1" x14ac:dyDescent="0.25">
      <c r="A4434" s="19" t="s">
        <v>7013</v>
      </c>
    </row>
    <row r="4435" spans="1:1" x14ac:dyDescent="0.25">
      <c r="A4435" s="19" t="s">
        <v>7014</v>
      </c>
    </row>
    <row r="4436" spans="1:1" x14ac:dyDescent="0.25">
      <c r="A4436" s="19" t="s">
        <v>7015</v>
      </c>
    </row>
    <row r="4437" spans="1:1" x14ac:dyDescent="0.25">
      <c r="A4437" s="19" t="s">
        <v>7016</v>
      </c>
    </row>
    <row r="4438" spans="1:1" x14ac:dyDescent="0.25">
      <c r="A4438" s="19" t="s">
        <v>7017</v>
      </c>
    </row>
    <row r="4439" spans="1:1" x14ac:dyDescent="0.25">
      <c r="A4439" s="19" t="s">
        <v>7018</v>
      </c>
    </row>
    <row r="4440" spans="1:1" x14ac:dyDescent="0.25">
      <c r="A4440" s="19" t="s">
        <v>7019</v>
      </c>
    </row>
    <row r="4441" spans="1:1" x14ac:dyDescent="0.25">
      <c r="A4441" s="19" t="s">
        <v>7020</v>
      </c>
    </row>
    <row r="4442" spans="1:1" x14ac:dyDescent="0.25">
      <c r="A4442" s="19" t="s">
        <v>7021</v>
      </c>
    </row>
    <row r="4443" spans="1:1" x14ac:dyDescent="0.25">
      <c r="A4443" s="19" t="s">
        <v>7022</v>
      </c>
    </row>
    <row r="4444" spans="1:1" x14ac:dyDescent="0.25">
      <c r="A4444" s="19" t="s">
        <v>7023</v>
      </c>
    </row>
    <row r="4445" spans="1:1" x14ac:dyDescent="0.25">
      <c r="A4445" s="19" t="s">
        <v>7024</v>
      </c>
    </row>
    <row r="4446" spans="1:1" x14ac:dyDescent="0.25">
      <c r="A4446" s="19" t="s">
        <v>7025</v>
      </c>
    </row>
    <row r="4447" spans="1:1" x14ac:dyDescent="0.25">
      <c r="A4447" s="19" t="s">
        <v>7026</v>
      </c>
    </row>
    <row r="4448" spans="1:1" x14ac:dyDescent="0.25">
      <c r="A4448" s="19" t="s">
        <v>7027</v>
      </c>
    </row>
    <row r="4449" spans="1:1" x14ac:dyDescent="0.25">
      <c r="A4449" s="19" t="s">
        <v>7028</v>
      </c>
    </row>
    <row r="4450" spans="1:1" x14ac:dyDescent="0.25">
      <c r="A4450" s="19" t="s">
        <v>7029</v>
      </c>
    </row>
    <row r="4451" spans="1:1" x14ac:dyDescent="0.25">
      <c r="A4451" s="19" t="s">
        <v>7030</v>
      </c>
    </row>
    <row r="4452" spans="1:1" x14ac:dyDescent="0.25">
      <c r="A4452" s="19" t="s">
        <v>7031</v>
      </c>
    </row>
    <row r="4453" spans="1:1" x14ac:dyDescent="0.25">
      <c r="A4453" s="19" t="s">
        <v>7032</v>
      </c>
    </row>
    <row r="4454" spans="1:1" x14ac:dyDescent="0.25">
      <c r="A4454" s="19" t="s">
        <v>7033</v>
      </c>
    </row>
    <row r="4455" spans="1:1" x14ac:dyDescent="0.25">
      <c r="A4455" s="19" t="s">
        <v>7034</v>
      </c>
    </row>
    <row r="4456" spans="1:1" x14ac:dyDescent="0.25">
      <c r="A4456" s="19" t="s">
        <v>7035</v>
      </c>
    </row>
    <row r="4457" spans="1:1" x14ac:dyDescent="0.25">
      <c r="A4457" s="19" t="s">
        <v>7036</v>
      </c>
    </row>
    <row r="4458" spans="1:1" x14ac:dyDescent="0.25">
      <c r="A4458" s="19" t="s">
        <v>7037</v>
      </c>
    </row>
    <row r="4459" spans="1:1" x14ac:dyDescent="0.25">
      <c r="A4459" s="19" t="s">
        <v>7038</v>
      </c>
    </row>
    <row r="4460" spans="1:1" x14ac:dyDescent="0.25">
      <c r="A4460" s="19" t="s">
        <v>7039</v>
      </c>
    </row>
    <row r="4461" spans="1:1" x14ac:dyDescent="0.25">
      <c r="A4461" s="19" t="s">
        <v>7040</v>
      </c>
    </row>
    <row r="4462" spans="1:1" x14ac:dyDescent="0.25">
      <c r="A4462" s="19" t="s">
        <v>7041</v>
      </c>
    </row>
    <row r="4463" spans="1:1" x14ac:dyDescent="0.25">
      <c r="A4463" s="19" t="s">
        <v>7042</v>
      </c>
    </row>
    <row r="4464" spans="1:1" x14ac:dyDescent="0.25">
      <c r="A4464" s="19" t="s">
        <v>7043</v>
      </c>
    </row>
    <row r="4465" spans="1:1" x14ac:dyDescent="0.25">
      <c r="A4465" s="19" t="s">
        <v>7044</v>
      </c>
    </row>
    <row r="4466" spans="1:1" x14ac:dyDescent="0.25">
      <c r="A4466" s="19" t="s">
        <v>7045</v>
      </c>
    </row>
    <row r="4467" spans="1:1" x14ac:dyDescent="0.25">
      <c r="A4467" s="19" t="s">
        <v>7046</v>
      </c>
    </row>
    <row r="4468" spans="1:1" x14ac:dyDescent="0.25">
      <c r="A4468" s="19" t="s">
        <v>7047</v>
      </c>
    </row>
    <row r="4469" spans="1:1" x14ac:dyDescent="0.25">
      <c r="A4469" s="19" t="s">
        <v>7048</v>
      </c>
    </row>
    <row r="4470" spans="1:1" x14ac:dyDescent="0.25">
      <c r="A4470" s="19" t="s">
        <v>7049</v>
      </c>
    </row>
    <row r="4471" spans="1:1" x14ac:dyDescent="0.25">
      <c r="A4471" s="19" t="s">
        <v>7050</v>
      </c>
    </row>
    <row r="4472" spans="1:1" x14ac:dyDescent="0.25">
      <c r="A4472" s="19" t="s">
        <v>7051</v>
      </c>
    </row>
    <row r="4473" spans="1:1" x14ac:dyDescent="0.25">
      <c r="A4473" s="19" t="s">
        <v>7052</v>
      </c>
    </row>
    <row r="4474" spans="1:1" x14ac:dyDescent="0.25">
      <c r="A4474" s="19" t="s">
        <v>7053</v>
      </c>
    </row>
    <row r="4475" spans="1:1" x14ac:dyDescent="0.25">
      <c r="A4475" s="19" t="s">
        <v>7054</v>
      </c>
    </row>
    <row r="4476" spans="1:1" x14ac:dyDescent="0.25">
      <c r="A4476" s="19" t="s">
        <v>7055</v>
      </c>
    </row>
    <row r="4477" spans="1:1" x14ac:dyDescent="0.25">
      <c r="A4477" s="19" t="s">
        <v>7056</v>
      </c>
    </row>
    <row r="4478" spans="1:1" x14ac:dyDescent="0.25">
      <c r="A4478" s="19" t="s">
        <v>7057</v>
      </c>
    </row>
    <row r="4479" spans="1:1" x14ac:dyDescent="0.25">
      <c r="A4479" s="19" t="s">
        <v>7058</v>
      </c>
    </row>
    <row r="4480" spans="1:1" x14ac:dyDescent="0.25">
      <c r="A4480" s="19" t="s">
        <v>7059</v>
      </c>
    </row>
    <row r="4481" spans="1:1" x14ac:dyDescent="0.25">
      <c r="A4481" s="19" t="s">
        <v>7060</v>
      </c>
    </row>
    <row r="4482" spans="1:1" x14ac:dyDescent="0.25">
      <c r="A4482" s="19" t="s">
        <v>7061</v>
      </c>
    </row>
    <row r="4483" spans="1:1" x14ac:dyDescent="0.25">
      <c r="A4483" s="19" t="s">
        <v>7062</v>
      </c>
    </row>
    <row r="4484" spans="1:1" x14ac:dyDescent="0.25">
      <c r="A4484" s="19" t="s">
        <v>7062</v>
      </c>
    </row>
    <row r="4485" spans="1:1" x14ac:dyDescent="0.25">
      <c r="A4485" s="19" t="s">
        <v>7063</v>
      </c>
    </row>
    <row r="4486" spans="1:1" x14ac:dyDescent="0.25">
      <c r="A4486" s="19" t="s">
        <v>7064</v>
      </c>
    </row>
    <row r="4487" spans="1:1" x14ac:dyDescent="0.25">
      <c r="A4487" s="19" t="s">
        <v>7065</v>
      </c>
    </row>
    <row r="4488" spans="1:1" x14ac:dyDescent="0.25">
      <c r="A4488" s="19" t="s">
        <v>7066</v>
      </c>
    </row>
    <row r="4489" spans="1:1" x14ac:dyDescent="0.25">
      <c r="A4489" s="19" t="s">
        <v>7067</v>
      </c>
    </row>
    <row r="4490" spans="1:1" x14ac:dyDescent="0.25">
      <c r="A4490" s="19" t="s">
        <v>7068</v>
      </c>
    </row>
    <row r="4491" spans="1:1" x14ac:dyDescent="0.25">
      <c r="A4491" s="19" t="s">
        <v>7069</v>
      </c>
    </row>
    <row r="4492" spans="1:1" x14ac:dyDescent="0.25">
      <c r="A4492" s="19" t="s">
        <v>7070</v>
      </c>
    </row>
    <row r="4493" spans="1:1" x14ac:dyDescent="0.25">
      <c r="A4493" s="19" t="s">
        <v>7071</v>
      </c>
    </row>
    <row r="4494" spans="1:1" x14ac:dyDescent="0.25">
      <c r="A4494" s="19" t="s">
        <v>7072</v>
      </c>
    </row>
    <row r="4495" spans="1:1" x14ac:dyDescent="0.25">
      <c r="A4495" s="19" t="s">
        <v>7073</v>
      </c>
    </row>
    <row r="4496" spans="1:1" x14ac:dyDescent="0.25">
      <c r="A4496" s="19" t="s">
        <v>7074</v>
      </c>
    </row>
    <row r="4497" spans="1:1" x14ac:dyDescent="0.25">
      <c r="A4497" s="19" t="s">
        <v>7075</v>
      </c>
    </row>
    <row r="4498" spans="1:1" x14ac:dyDescent="0.25">
      <c r="A4498" s="19" t="s">
        <v>7076</v>
      </c>
    </row>
    <row r="4499" spans="1:1" x14ac:dyDescent="0.25">
      <c r="A4499" s="19" t="s">
        <v>7077</v>
      </c>
    </row>
    <row r="4500" spans="1:1" x14ac:dyDescent="0.25">
      <c r="A4500" s="19" t="s">
        <v>7078</v>
      </c>
    </row>
    <row r="4501" spans="1:1" x14ac:dyDescent="0.25">
      <c r="A4501" s="19" t="s">
        <v>7079</v>
      </c>
    </row>
    <row r="4502" spans="1:1" x14ac:dyDescent="0.25">
      <c r="A4502" s="19" t="s">
        <v>7080</v>
      </c>
    </row>
    <row r="4503" spans="1:1" x14ac:dyDescent="0.25">
      <c r="A4503" s="19" t="s">
        <v>7081</v>
      </c>
    </row>
    <row r="4504" spans="1:1" x14ac:dyDescent="0.25">
      <c r="A4504" s="19" t="s">
        <v>7082</v>
      </c>
    </row>
    <row r="4505" spans="1:1" x14ac:dyDescent="0.25">
      <c r="A4505" s="19" t="s">
        <v>7083</v>
      </c>
    </row>
    <row r="4506" spans="1:1" x14ac:dyDescent="0.25">
      <c r="A4506" s="19" t="s">
        <v>7084</v>
      </c>
    </row>
    <row r="4507" spans="1:1" x14ac:dyDescent="0.25">
      <c r="A4507" s="19" t="s">
        <v>7085</v>
      </c>
    </row>
    <row r="4508" spans="1:1" x14ac:dyDescent="0.25">
      <c r="A4508" s="19" t="s">
        <v>7086</v>
      </c>
    </row>
    <row r="4509" spans="1:1" x14ac:dyDescent="0.25">
      <c r="A4509" s="19" t="s">
        <v>7087</v>
      </c>
    </row>
    <row r="4510" spans="1:1" x14ac:dyDescent="0.25">
      <c r="A4510" s="19" t="s">
        <v>7088</v>
      </c>
    </row>
    <row r="4511" spans="1:1" x14ac:dyDescent="0.25">
      <c r="A4511" s="19" t="s">
        <v>7089</v>
      </c>
    </row>
    <row r="4512" spans="1:1" x14ac:dyDescent="0.25">
      <c r="A4512" s="19" t="s">
        <v>7090</v>
      </c>
    </row>
    <row r="4513" spans="1:1" x14ac:dyDescent="0.25">
      <c r="A4513" s="19" t="s">
        <v>7091</v>
      </c>
    </row>
    <row r="4514" spans="1:1" x14ac:dyDescent="0.25">
      <c r="A4514" s="19" t="s">
        <v>7092</v>
      </c>
    </row>
    <row r="4515" spans="1:1" x14ac:dyDescent="0.25">
      <c r="A4515" s="19" t="s">
        <v>7093</v>
      </c>
    </row>
    <row r="4516" spans="1:1" x14ac:dyDescent="0.25">
      <c r="A4516" s="19" t="s">
        <v>7094</v>
      </c>
    </row>
    <row r="4517" spans="1:1" x14ac:dyDescent="0.25">
      <c r="A4517" s="19" t="s">
        <v>7095</v>
      </c>
    </row>
    <row r="4518" spans="1:1" x14ac:dyDescent="0.25">
      <c r="A4518" s="19" t="s">
        <v>7096</v>
      </c>
    </row>
    <row r="4519" spans="1:1" x14ac:dyDescent="0.25">
      <c r="A4519" s="19" t="s">
        <v>7097</v>
      </c>
    </row>
    <row r="4520" spans="1:1" x14ac:dyDescent="0.25">
      <c r="A4520" s="19" t="s">
        <v>7098</v>
      </c>
    </row>
    <row r="4521" spans="1:1" x14ac:dyDescent="0.25">
      <c r="A4521" s="19" t="s">
        <v>7099</v>
      </c>
    </row>
    <row r="4522" spans="1:1" x14ac:dyDescent="0.25">
      <c r="A4522" s="19" t="s">
        <v>7100</v>
      </c>
    </row>
    <row r="4523" spans="1:1" x14ac:dyDescent="0.25">
      <c r="A4523" s="19" t="s">
        <v>7101</v>
      </c>
    </row>
    <row r="4524" spans="1:1" x14ac:dyDescent="0.25">
      <c r="A4524" s="19" t="s">
        <v>7102</v>
      </c>
    </row>
    <row r="4525" spans="1:1" x14ac:dyDescent="0.25">
      <c r="A4525" s="19" t="s">
        <v>7103</v>
      </c>
    </row>
    <row r="4526" spans="1:1" x14ac:dyDescent="0.25">
      <c r="A4526" s="19" t="s">
        <v>7104</v>
      </c>
    </row>
    <row r="4527" spans="1:1" x14ac:dyDescent="0.25">
      <c r="A4527" s="19" t="s">
        <v>7105</v>
      </c>
    </row>
    <row r="4528" spans="1:1" x14ac:dyDescent="0.25">
      <c r="A4528" s="19" t="s">
        <v>7106</v>
      </c>
    </row>
    <row r="4529" spans="1:1" x14ac:dyDescent="0.25">
      <c r="A4529" s="19" t="s">
        <v>7107</v>
      </c>
    </row>
    <row r="4530" spans="1:1" x14ac:dyDescent="0.25">
      <c r="A4530" s="19" t="s">
        <v>7108</v>
      </c>
    </row>
    <row r="4531" spans="1:1" x14ac:dyDescent="0.25">
      <c r="A4531" s="19" t="s">
        <v>7109</v>
      </c>
    </row>
    <row r="4532" spans="1:1" x14ac:dyDescent="0.25">
      <c r="A4532" s="19" t="s">
        <v>7110</v>
      </c>
    </row>
    <row r="4533" spans="1:1" x14ac:dyDescent="0.25">
      <c r="A4533" s="19" t="s">
        <v>7111</v>
      </c>
    </row>
    <row r="4534" spans="1:1" x14ac:dyDescent="0.25">
      <c r="A4534" s="19" t="s">
        <v>7112</v>
      </c>
    </row>
    <row r="4535" spans="1:1" x14ac:dyDescent="0.25">
      <c r="A4535" s="19" t="s">
        <v>7113</v>
      </c>
    </row>
    <row r="4536" spans="1:1" x14ac:dyDescent="0.25">
      <c r="A4536" s="19" t="s">
        <v>7114</v>
      </c>
    </row>
    <row r="4537" spans="1:1" x14ac:dyDescent="0.25">
      <c r="A4537" s="19" t="s">
        <v>7115</v>
      </c>
    </row>
    <row r="4538" spans="1:1" x14ac:dyDescent="0.25">
      <c r="A4538" s="19" t="s">
        <v>7116</v>
      </c>
    </row>
    <row r="4539" spans="1:1" x14ac:dyDescent="0.25">
      <c r="A4539" s="19" t="s">
        <v>7117</v>
      </c>
    </row>
    <row r="4540" spans="1:1" x14ac:dyDescent="0.25">
      <c r="A4540" s="19" t="s">
        <v>7118</v>
      </c>
    </row>
    <row r="4541" spans="1:1" x14ac:dyDescent="0.25">
      <c r="A4541" s="19" t="s">
        <v>7119</v>
      </c>
    </row>
    <row r="4542" spans="1:1" x14ac:dyDescent="0.25">
      <c r="A4542" s="19" t="s">
        <v>7120</v>
      </c>
    </row>
    <row r="4543" spans="1:1" x14ac:dyDescent="0.25">
      <c r="A4543" s="19" t="s">
        <v>7121</v>
      </c>
    </row>
    <row r="4544" spans="1:1" x14ac:dyDescent="0.25">
      <c r="A4544" s="19" t="s">
        <v>7122</v>
      </c>
    </row>
    <row r="4545" spans="1:1" x14ac:dyDescent="0.25">
      <c r="A4545" s="19" t="s">
        <v>7123</v>
      </c>
    </row>
    <row r="4546" spans="1:1" x14ac:dyDescent="0.25">
      <c r="A4546" s="19" t="s">
        <v>7124</v>
      </c>
    </row>
    <row r="4547" spans="1:1" x14ac:dyDescent="0.25">
      <c r="A4547" s="19" t="s">
        <v>7125</v>
      </c>
    </row>
    <row r="4548" spans="1:1" x14ac:dyDescent="0.25">
      <c r="A4548" s="19" t="s">
        <v>7126</v>
      </c>
    </row>
    <row r="4549" spans="1:1" x14ac:dyDescent="0.25">
      <c r="A4549" s="19" t="s">
        <v>7127</v>
      </c>
    </row>
    <row r="4550" spans="1:1" x14ac:dyDescent="0.25">
      <c r="A4550" s="19" t="s">
        <v>7128</v>
      </c>
    </row>
    <row r="4551" spans="1:1" x14ac:dyDescent="0.25">
      <c r="A4551" s="19" t="s">
        <v>7129</v>
      </c>
    </row>
    <row r="4552" spans="1:1" x14ac:dyDescent="0.25">
      <c r="A4552" s="19" t="s">
        <v>7130</v>
      </c>
    </row>
    <row r="4553" spans="1:1" x14ac:dyDescent="0.25">
      <c r="A4553" s="19" t="s">
        <v>7131</v>
      </c>
    </row>
    <row r="4554" spans="1:1" x14ac:dyDescent="0.25">
      <c r="A4554" s="19" t="s">
        <v>7132</v>
      </c>
    </row>
    <row r="4555" spans="1:1" x14ac:dyDescent="0.25">
      <c r="A4555" s="19" t="s">
        <v>7133</v>
      </c>
    </row>
    <row r="4556" spans="1:1" x14ac:dyDescent="0.25">
      <c r="A4556" s="19" t="s">
        <v>7134</v>
      </c>
    </row>
    <row r="4557" spans="1:1" x14ac:dyDescent="0.25">
      <c r="A4557" s="19" t="s">
        <v>7135</v>
      </c>
    </row>
    <row r="4558" spans="1:1" x14ac:dyDescent="0.25">
      <c r="A4558" s="19" t="s">
        <v>7136</v>
      </c>
    </row>
    <row r="4559" spans="1:1" x14ac:dyDescent="0.25">
      <c r="A4559" s="19" t="s">
        <v>7137</v>
      </c>
    </row>
    <row r="4560" spans="1:1" x14ac:dyDescent="0.25">
      <c r="A4560" s="19" t="s">
        <v>7138</v>
      </c>
    </row>
    <row r="4561" spans="1:1" x14ac:dyDescent="0.25">
      <c r="A4561" s="19" t="s">
        <v>7139</v>
      </c>
    </row>
    <row r="4562" spans="1:1" x14ac:dyDescent="0.25">
      <c r="A4562" s="19" t="s">
        <v>7140</v>
      </c>
    </row>
    <row r="4563" spans="1:1" x14ac:dyDescent="0.25">
      <c r="A4563" s="19" t="s">
        <v>7141</v>
      </c>
    </row>
    <row r="4564" spans="1:1" x14ac:dyDescent="0.25">
      <c r="A4564" s="19" t="s">
        <v>7142</v>
      </c>
    </row>
    <row r="4565" spans="1:1" x14ac:dyDescent="0.25">
      <c r="A4565" s="19" t="s">
        <v>7143</v>
      </c>
    </row>
    <row r="4566" spans="1:1" x14ac:dyDescent="0.25">
      <c r="A4566" s="19" t="s">
        <v>7144</v>
      </c>
    </row>
    <row r="4567" spans="1:1" x14ac:dyDescent="0.25">
      <c r="A4567" s="19" t="s">
        <v>7145</v>
      </c>
    </row>
    <row r="4568" spans="1:1" x14ac:dyDescent="0.25">
      <c r="A4568" s="19" t="s">
        <v>7146</v>
      </c>
    </row>
    <row r="4569" spans="1:1" x14ac:dyDescent="0.25">
      <c r="A4569" s="19" t="s">
        <v>7147</v>
      </c>
    </row>
    <row r="4570" spans="1:1" x14ac:dyDescent="0.25">
      <c r="A4570" s="19" t="s">
        <v>7148</v>
      </c>
    </row>
    <row r="4571" spans="1:1" x14ac:dyDescent="0.25">
      <c r="A4571" s="19" t="s">
        <v>7149</v>
      </c>
    </row>
    <row r="4572" spans="1:1" x14ac:dyDescent="0.25">
      <c r="A4572" s="19" t="s">
        <v>7150</v>
      </c>
    </row>
    <row r="4573" spans="1:1" x14ac:dyDescent="0.25">
      <c r="A4573" s="19" t="s">
        <v>7151</v>
      </c>
    </row>
    <row r="4574" spans="1:1" x14ac:dyDescent="0.25">
      <c r="A4574" s="19" t="s">
        <v>7152</v>
      </c>
    </row>
    <row r="4575" spans="1:1" x14ac:dyDescent="0.25">
      <c r="A4575" s="19" t="s">
        <v>7153</v>
      </c>
    </row>
    <row r="4576" spans="1:1" x14ac:dyDescent="0.25">
      <c r="A4576" s="19" t="s">
        <v>7154</v>
      </c>
    </row>
    <row r="4577" spans="1:1" x14ac:dyDescent="0.25">
      <c r="A4577" s="19" t="s">
        <v>7155</v>
      </c>
    </row>
    <row r="4578" spans="1:1" x14ac:dyDescent="0.25">
      <c r="A4578" s="19" t="s">
        <v>7156</v>
      </c>
    </row>
    <row r="4579" spans="1:1" x14ac:dyDescent="0.25">
      <c r="A4579" s="19" t="s">
        <v>7157</v>
      </c>
    </row>
    <row r="4580" spans="1:1" x14ac:dyDescent="0.25">
      <c r="A4580" s="19" t="s">
        <v>7158</v>
      </c>
    </row>
    <row r="4581" spans="1:1" x14ac:dyDescent="0.25">
      <c r="A4581" s="19" t="s">
        <v>7159</v>
      </c>
    </row>
    <row r="4582" spans="1:1" x14ac:dyDescent="0.25">
      <c r="A4582" s="19" t="s">
        <v>7160</v>
      </c>
    </row>
    <row r="4583" spans="1:1" x14ac:dyDescent="0.25">
      <c r="A4583" s="19" t="s">
        <v>7161</v>
      </c>
    </row>
    <row r="4584" spans="1:1" x14ac:dyDescent="0.25">
      <c r="A4584" s="19" t="s">
        <v>7162</v>
      </c>
    </row>
    <row r="4585" spans="1:1" x14ac:dyDescent="0.25">
      <c r="A4585" s="19" t="s">
        <v>7163</v>
      </c>
    </row>
    <row r="4586" spans="1:1" x14ac:dyDescent="0.25">
      <c r="A4586" s="19" t="s">
        <v>7164</v>
      </c>
    </row>
    <row r="4587" spans="1:1" x14ac:dyDescent="0.25">
      <c r="A4587" s="19" t="s">
        <v>7165</v>
      </c>
    </row>
    <row r="4588" spans="1:1" x14ac:dyDescent="0.25">
      <c r="A4588" s="19" t="s">
        <v>7166</v>
      </c>
    </row>
    <row r="4589" spans="1:1" x14ac:dyDescent="0.25">
      <c r="A4589" s="19" t="s">
        <v>7167</v>
      </c>
    </row>
    <row r="4590" spans="1:1" x14ac:dyDescent="0.25">
      <c r="A4590" s="19" t="s">
        <v>7168</v>
      </c>
    </row>
    <row r="4591" spans="1:1" x14ac:dyDescent="0.25">
      <c r="A4591" s="19" t="s">
        <v>7169</v>
      </c>
    </row>
    <row r="4592" spans="1:1" x14ac:dyDescent="0.25">
      <c r="A4592" s="19" t="s">
        <v>7170</v>
      </c>
    </row>
    <row r="4593" spans="1:1" x14ac:dyDescent="0.25">
      <c r="A4593" s="19" t="s">
        <v>7171</v>
      </c>
    </row>
    <row r="4594" spans="1:1" x14ac:dyDescent="0.25">
      <c r="A4594" s="19" t="s">
        <v>7172</v>
      </c>
    </row>
    <row r="4595" spans="1:1" x14ac:dyDescent="0.25">
      <c r="A4595" s="19" t="s">
        <v>7173</v>
      </c>
    </row>
    <row r="4596" spans="1:1" x14ac:dyDescent="0.25">
      <c r="A4596" s="19" t="s">
        <v>7174</v>
      </c>
    </row>
    <row r="4597" spans="1:1" x14ac:dyDescent="0.25">
      <c r="A4597" s="19" t="s">
        <v>7175</v>
      </c>
    </row>
    <row r="4598" spans="1:1" x14ac:dyDescent="0.25">
      <c r="A4598" s="19" t="s">
        <v>7176</v>
      </c>
    </row>
    <row r="4599" spans="1:1" x14ac:dyDescent="0.25">
      <c r="A4599" s="19" t="s">
        <v>7177</v>
      </c>
    </row>
    <row r="4600" spans="1:1" x14ac:dyDescent="0.25">
      <c r="A4600" s="19" t="s">
        <v>7178</v>
      </c>
    </row>
    <row r="4601" spans="1:1" x14ac:dyDescent="0.25">
      <c r="A4601" s="19" t="s">
        <v>7179</v>
      </c>
    </row>
    <row r="4602" spans="1:1" x14ac:dyDescent="0.25">
      <c r="A4602" s="19" t="s">
        <v>7180</v>
      </c>
    </row>
    <row r="4603" spans="1:1" x14ac:dyDescent="0.25">
      <c r="A4603" s="19" t="s">
        <v>7181</v>
      </c>
    </row>
    <row r="4604" spans="1:1" x14ac:dyDescent="0.25">
      <c r="A4604" s="19" t="s">
        <v>7182</v>
      </c>
    </row>
    <row r="4605" spans="1:1" x14ac:dyDescent="0.25">
      <c r="A4605" s="19" t="s">
        <v>7183</v>
      </c>
    </row>
    <row r="4606" spans="1:1" x14ac:dyDescent="0.25">
      <c r="A4606" s="19" t="s">
        <v>7184</v>
      </c>
    </row>
    <row r="4607" spans="1:1" x14ac:dyDescent="0.25">
      <c r="A4607" s="19" t="s">
        <v>7185</v>
      </c>
    </row>
    <row r="4608" spans="1:1" x14ac:dyDescent="0.25">
      <c r="A4608" s="19" t="s">
        <v>7186</v>
      </c>
    </row>
    <row r="4609" spans="1:1" x14ac:dyDescent="0.25">
      <c r="A4609" s="19" t="s">
        <v>7187</v>
      </c>
    </row>
    <row r="4610" spans="1:1" x14ac:dyDescent="0.25">
      <c r="A4610" s="19" t="s">
        <v>7188</v>
      </c>
    </row>
    <row r="4611" spans="1:1" x14ac:dyDescent="0.25">
      <c r="A4611" s="19" t="s">
        <v>7189</v>
      </c>
    </row>
    <row r="4612" spans="1:1" x14ac:dyDescent="0.25">
      <c r="A4612" s="19" t="s">
        <v>7190</v>
      </c>
    </row>
    <row r="4613" spans="1:1" x14ac:dyDescent="0.25">
      <c r="A4613" s="19" t="s">
        <v>7191</v>
      </c>
    </row>
    <row r="4614" spans="1:1" x14ac:dyDescent="0.25">
      <c r="A4614" s="19" t="s">
        <v>7192</v>
      </c>
    </row>
    <row r="4615" spans="1:1" x14ac:dyDescent="0.25">
      <c r="A4615" s="19" t="s">
        <v>7193</v>
      </c>
    </row>
    <row r="4616" spans="1:1" x14ac:dyDescent="0.25">
      <c r="A4616" s="19" t="s">
        <v>7194</v>
      </c>
    </row>
    <row r="4617" spans="1:1" x14ac:dyDescent="0.25">
      <c r="A4617" s="19" t="s">
        <v>7195</v>
      </c>
    </row>
    <row r="4618" spans="1:1" x14ac:dyDescent="0.25">
      <c r="A4618" s="19" t="s">
        <v>7196</v>
      </c>
    </row>
    <row r="4619" spans="1:1" x14ac:dyDescent="0.25">
      <c r="A4619" s="19" t="s">
        <v>7197</v>
      </c>
    </row>
    <row r="4620" spans="1:1" x14ac:dyDescent="0.25">
      <c r="A4620" s="19" t="s">
        <v>7198</v>
      </c>
    </row>
    <row r="4621" spans="1:1" x14ac:dyDescent="0.25">
      <c r="A4621" s="19" t="s">
        <v>7199</v>
      </c>
    </row>
    <row r="4622" spans="1:1" x14ac:dyDescent="0.25">
      <c r="A4622" s="19" t="s">
        <v>7200</v>
      </c>
    </row>
    <row r="4623" spans="1:1" x14ac:dyDescent="0.25">
      <c r="A4623" s="19" t="s">
        <v>7201</v>
      </c>
    </row>
    <row r="4624" spans="1:1" x14ac:dyDescent="0.25">
      <c r="A4624" s="19" t="s">
        <v>7202</v>
      </c>
    </row>
    <row r="4625" spans="1:1" x14ac:dyDescent="0.25">
      <c r="A4625" s="19" t="s">
        <v>7203</v>
      </c>
    </row>
    <row r="4626" spans="1:1" x14ac:dyDescent="0.25">
      <c r="A4626" s="19" t="s">
        <v>7204</v>
      </c>
    </row>
    <row r="4627" spans="1:1" x14ac:dyDescent="0.25">
      <c r="A4627" s="19" t="s">
        <v>7205</v>
      </c>
    </row>
    <row r="4628" spans="1:1" x14ac:dyDescent="0.25">
      <c r="A4628" s="19" t="s">
        <v>7206</v>
      </c>
    </row>
    <row r="4629" spans="1:1" x14ac:dyDescent="0.25">
      <c r="A4629" s="19" t="s">
        <v>7207</v>
      </c>
    </row>
    <row r="4630" spans="1:1" x14ac:dyDescent="0.25">
      <c r="A4630" s="19" t="s">
        <v>7208</v>
      </c>
    </row>
    <row r="4631" spans="1:1" x14ac:dyDescent="0.25">
      <c r="A4631" s="19" t="s">
        <v>7209</v>
      </c>
    </row>
    <row r="4632" spans="1:1" x14ac:dyDescent="0.25">
      <c r="A4632" s="19" t="s">
        <v>7210</v>
      </c>
    </row>
    <row r="4633" spans="1:1" x14ac:dyDescent="0.25">
      <c r="A4633" s="19" t="s">
        <v>7211</v>
      </c>
    </row>
    <row r="4634" spans="1:1" x14ac:dyDescent="0.25">
      <c r="A4634" s="19" t="s">
        <v>7212</v>
      </c>
    </row>
    <row r="4635" spans="1:1" x14ac:dyDescent="0.25">
      <c r="A4635" s="19" t="s">
        <v>7213</v>
      </c>
    </row>
    <row r="4636" spans="1:1" x14ac:dyDescent="0.25">
      <c r="A4636" s="19" t="s">
        <v>7214</v>
      </c>
    </row>
    <row r="4637" spans="1:1" x14ac:dyDescent="0.25">
      <c r="A4637" s="19" t="s">
        <v>7215</v>
      </c>
    </row>
    <row r="4638" spans="1:1" x14ac:dyDescent="0.25">
      <c r="A4638" s="19" t="s">
        <v>7216</v>
      </c>
    </row>
    <row r="4639" spans="1:1" x14ac:dyDescent="0.25">
      <c r="A4639" s="19" t="s">
        <v>7217</v>
      </c>
    </row>
    <row r="4640" spans="1:1" x14ac:dyDescent="0.25">
      <c r="A4640" s="19" t="s">
        <v>7218</v>
      </c>
    </row>
    <row r="4641" spans="1:1" x14ac:dyDescent="0.25">
      <c r="A4641" s="19" t="s">
        <v>7219</v>
      </c>
    </row>
    <row r="4642" spans="1:1" x14ac:dyDescent="0.25">
      <c r="A4642" s="19" t="s">
        <v>7220</v>
      </c>
    </row>
    <row r="4643" spans="1:1" x14ac:dyDescent="0.25">
      <c r="A4643" s="19" t="s">
        <v>7221</v>
      </c>
    </row>
    <row r="4644" spans="1:1" x14ac:dyDescent="0.25">
      <c r="A4644" s="19" t="s">
        <v>7222</v>
      </c>
    </row>
    <row r="4645" spans="1:1" x14ac:dyDescent="0.25">
      <c r="A4645" s="19" t="s">
        <v>7223</v>
      </c>
    </row>
    <row r="4646" spans="1:1" x14ac:dyDescent="0.25">
      <c r="A4646" s="19" t="s">
        <v>7224</v>
      </c>
    </row>
    <row r="4647" spans="1:1" x14ac:dyDescent="0.25">
      <c r="A4647" s="19" t="s">
        <v>7225</v>
      </c>
    </row>
    <row r="4648" spans="1:1" x14ac:dyDescent="0.25">
      <c r="A4648" s="19" t="s">
        <v>7226</v>
      </c>
    </row>
    <row r="4649" spans="1:1" x14ac:dyDescent="0.25">
      <c r="A4649" s="19" t="s">
        <v>7227</v>
      </c>
    </row>
    <row r="4650" spans="1:1" x14ac:dyDescent="0.25">
      <c r="A4650" s="19" t="s">
        <v>7228</v>
      </c>
    </row>
    <row r="4651" spans="1:1" x14ac:dyDescent="0.25">
      <c r="A4651" s="19" t="s">
        <v>7229</v>
      </c>
    </row>
    <row r="4652" spans="1:1" x14ac:dyDescent="0.25">
      <c r="A4652" s="19" t="s">
        <v>7230</v>
      </c>
    </row>
    <row r="4653" spans="1:1" x14ac:dyDescent="0.25">
      <c r="A4653" s="19" t="s">
        <v>7231</v>
      </c>
    </row>
    <row r="4654" spans="1:1" x14ac:dyDescent="0.25">
      <c r="A4654" s="19" t="s">
        <v>7232</v>
      </c>
    </row>
    <row r="4655" spans="1:1" x14ac:dyDescent="0.25">
      <c r="A4655" s="19" t="s">
        <v>7233</v>
      </c>
    </row>
    <row r="4656" spans="1:1" x14ac:dyDescent="0.25">
      <c r="A4656" s="19" t="s">
        <v>7234</v>
      </c>
    </row>
    <row r="4657" spans="1:1" x14ac:dyDescent="0.25">
      <c r="A4657" s="19" t="s">
        <v>7235</v>
      </c>
    </row>
    <row r="4658" spans="1:1" x14ac:dyDescent="0.25">
      <c r="A4658" s="19" t="s">
        <v>7236</v>
      </c>
    </row>
    <row r="4659" spans="1:1" x14ac:dyDescent="0.25">
      <c r="A4659" s="19" t="s">
        <v>7237</v>
      </c>
    </row>
    <row r="4660" spans="1:1" x14ac:dyDescent="0.25">
      <c r="A4660" s="19" t="s">
        <v>7238</v>
      </c>
    </row>
    <row r="4661" spans="1:1" x14ac:dyDescent="0.25">
      <c r="A4661" s="19" t="s">
        <v>7239</v>
      </c>
    </row>
    <row r="4662" spans="1:1" x14ac:dyDescent="0.25">
      <c r="A4662" s="19" t="s">
        <v>7240</v>
      </c>
    </row>
    <row r="4663" spans="1:1" x14ac:dyDescent="0.25">
      <c r="A4663" s="19" t="s">
        <v>7241</v>
      </c>
    </row>
    <row r="4664" spans="1:1" x14ac:dyDescent="0.25">
      <c r="A4664" s="19" t="s">
        <v>7242</v>
      </c>
    </row>
    <row r="4665" spans="1:1" x14ac:dyDescent="0.25">
      <c r="A4665" s="19" t="s">
        <v>7243</v>
      </c>
    </row>
    <row r="4666" spans="1:1" x14ac:dyDescent="0.25">
      <c r="A4666" s="19" t="s">
        <v>7244</v>
      </c>
    </row>
    <row r="4667" spans="1:1" x14ac:dyDescent="0.25">
      <c r="A4667" s="19" t="s">
        <v>7245</v>
      </c>
    </row>
    <row r="4668" spans="1:1" x14ac:dyDescent="0.25">
      <c r="A4668" s="19" t="s">
        <v>7246</v>
      </c>
    </row>
    <row r="4669" spans="1:1" x14ac:dyDescent="0.25">
      <c r="A4669" s="19" t="s">
        <v>7247</v>
      </c>
    </row>
    <row r="4670" spans="1:1" x14ac:dyDescent="0.25">
      <c r="A4670" s="19" t="s">
        <v>7248</v>
      </c>
    </row>
    <row r="4671" spans="1:1" x14ac:dyDescent="0.25">
      <c r="A4671" s="19" t="s">
        <v>7249</v>
      </c>
    </row>
    <row r="4672" spans="1:1" x14ac:dyDescent="0.25">
      <c r="A4672" s="19" t="s">
        <v>7250</v>
      </c>
    </row>
    <row r="4673" spans="1:1" x14ac:dyDescent="0.25">
      <c r="A4673" s="19" t="s">
        <v>7251</v>
      </c>
    </row>
    <row r="4674" spans="1:1" x14ac:dyDescent="0.25">
      <c r="A4674" s="19" t="s">
        <v>7252</v>
      </c>
    </row>
    <row r="4675" spans="1:1" x14ac:dyDescent="0.25">
      <c r="A4675" s="19" t="s">
        <v>7253</v>
      </c>
    </row>
    <row r="4676" spans="1:1" x14ac:dyDescent="0.25">
      <c r="A4676" s="19" t="s">
        <v>7254</v>
      </c>
    </row>
    <row r="4677" spans="1:1" x14ac:dyDescent="0.25">
      <c r="A4677" s="19" t="s">
        <v>7255</v>
      </c>
    </row>
    <row r="4678" spans="1:1" x14ac:dyDescent="0.25">
      <c r="A4678" s="19" t="s">
        <v>7256</v>
      </c>
    </row>
    <row r="4679" spans="1:1" x14ac:dyDescent="0.25">
      <c r="A4679" s="19" t="s">
        <v>7257</v>
      </c>
    </row>
    <row r="4680" spans="1:1" x14ac:dyDescent="0.25">
      <c r="A4680" s="19" t="s">
        <v>7258</v>
      </c>
    </row>
    <row r="4681" spans="1:1" x14ac:dyDescent="0.25">
      <c r="A4681" s="19" t="s">
        <v>7259</v>
      </c>
    </row>
    <row r="4682" spans="1:1" x14ac:dyDescent="0.25">
      <c r="A4682" s="19" t="s">
        <v>7260</v>
      </c>
    </row>
    <row r="4683" spans="1:1" x14ac:dyDescent="0.25">
      <c r="A4683" s="19" t="s">
        <v>7261</v>
      </c>
    </row>
    <row r="4684" spans="1:1" x14ac:dyDescent="0.25">
      <c r="A4684" s="19" t="s">
        <v>7262</v>
      </c>
    </row>
    <row r="4685" spans="1:1" x14ac:dyDescent="0.25">
      <c r="A4685" s="19" t="s">
        <v>7263</v>
      </c>
    </row>
    <row r="4686" spans="1:1" x14ac:dyDescent="0.25">
      <c r="A4686" s="19" t="s">
        <v>7264</v>
      </c>
    </row>
    <row r="4687" spans="1:1" x14ac:dyDescent="0.25">
      <c r="A4687" s="19" t="s">
        <v>7265</v>
      </c>
    </row>
    <row r="4688" spans="1:1" x14ac:dyDescent="0.25">
      <c r="A4688" s="19" t="s">
        <v>7266</v>
      </c>
    </row>
    <row r="4689" spans="1:1" x14ac:dyDescent="0.25">
      <c r="A4689" s="19" t="s">
        <v>7267</v>
      </c>
    </row>
    <row r="4690" spans="1:1" x14ac:dyDescent="0.25">
      <c r="A4690" s="19" t="s">
        <v>7268</v>
      </c>
    </row>
    <row r="4691" spans="1:1" x14ac:dyDescent="0.25">
      <c r="A4691" s="19" t="s">
        <v>7269</v>
      </c>
    </row>
    <row r="4692" spans="1:1" x14ac:dyDescent="0.25">
      <c r="A4692" s="19" t="s">
        <v>7270</v>
      </c>
    </row>
    <row r="4693" spans="1:1" x14ac:dyDescent="0.25">
      <c r="A4693" s="19" t="s">
        <v>7271</v>
      </c>
    </row>
    <row r="4694" spans="1:1" x14ac:dyDescent="0.25">
      <c r="A4694" s="19" t="s">
        <v>7272</v>
      </c>
    </row>
    <row r="4695" spans="1:1" x14ac:dyDescent="0.25">
      <c r="A4695" s="19" t="s">
        <v>7273</v>
      </c>
    </row>
    <row r="4696" spans="1:1" x14ac:dyDescent="0.25">
      <c r="A4696" s="19" t="s">
        <v>7274</v>
      </c>
    </row>
    <row r="4697" spans="1:1" x14ac:dyDescent="0.25">
      <c r="A4697" s="19" t="s">
        <v>7275</v>
      </c>
    </row>
    <row r="4698" spans="1:1" x14ac:dyDescent="0.25">
      <c r="A4698" s="19" t="s">
        <v>7276</v>
      </c>
    </row>
    <row r="4699" spans="1:1" x14ac:dyDescent="0.25">
      <c r="A4699" s="19" t="s">
        <v>7277</v>
      </c>
    </row>
    <row r="4700" spans="1:1" x14ac:dyDescent="0.25">
      <c r="A4700" s="19" t="s">
        <v>7278</v>
      </c>
    </row>
    <row r="4701" spans="1:1" x14ac:dyDescent="0.25">
      <c r="A4701" s="19" t="s">
        <v>7279</v>
      </c>
    </row>
    <row r="4702" spans="1:1" x14ac:dyDescent="0.25">
      <c r="A4702" s="19" t="s">
        <v>7280</v>
      </c>
    </row>
    <row r="4703" spans="1:1" x14ac:dyDescent="0.25">
      <c r="A4703" s="19" t="s">
        <v>7281</v>
      </c>
    </row>
    <row r="4704" spans="1:1" x14ac:dyDescent="0.25">
      <c r="A4704" s="19" t="s">
        <v>7282</v>
      </c>
    </row>
    <row r="4705" spans="1:1" x14ac:dyDescent="0.25">
      <c r="A4705" s="19" t="s">
        <v>7283</v>
      </c>
    </row>
    <row r="4706" spans="1:1" x14ac:dyDescent="0.25">
      <c r="A4706" s="19" t="s">
        <v>7284</v>
      </c>
    </row>
    <row r="4707" spans="1:1" x14ac:dyDescent="0.25">
      <c r="A4707" s="19" t="s">
        <v>7285</v>
      </c>
    </row>
    <row r="4708" spans="1:1" x14ac:dyDescent="0.25">
      <c r="A4708" s="19" t="s">
        <v>7286</v>
      </c>
    </row>
    <row r="4709" spans="1:1" x14ac:dyDescent="0.25">
      <c r="A4709" s="19" t="s">
        <v>7287</v>
      </c>
    </row>
    <row r="4710" spans="1:1" x14ac:dyDescent="0.25">
      <c r="A4710" s="19" t="s">
        <v>7288</v>
      </c>
    </row>
    <row r="4711" spans="1:1" x14ac:dyDescent="0.25">
      <c r="A4711" s="19" t="s">
        <v>7289</v>
      </c>
    </row>
    <row r="4712" spans="1:1" x14ac:dyDescent="0.25">
      <c r="A4712" s="19" t="s">
        <v>7290</v>
      </c>
    </row>
    <row r="4713" spans="1:1" x14ac:dyDescent="0.25">
      <c r="A4713" s="19" t="s">
        <v>7291</v>
      </c>
    </row>
    <row r="4714" spans="1:1" x14ac:dyDescent="0.25">
      <c r="A4714" s="19" t="s">
        <v>7292</v>
      </c>
    </row>
    <row r="4715" spans="1:1" x14ac:dyDescent="0.25">
      <c r="A4715" s="19" t="s">
        <v>7293</v>
      </c>
    </row>
    <row r="4716" spans="1:1" x14ac:dyDescent="0.25">
      <c r="A4716" s="19" t="s">
        <v>7294</v>
      </c>
    </row>
    <row r="4717" spans="1:1" x14ac:dyDescent="0.25">
      <c r="A4717" s="19" t="s">
        <v>7295</v>
      </c>
    </row>
    <row r="4718" spans="1:1" x14ac:dyDescent="0.25">
      <c r="A4718" s="19" t="s">
        <v>7296</v>
      </c>
    </row>
    <row r="4719" spans="1:1" x14ac:dyDescent="0.25">
      <c r="A4719" s="19" t="s">
        <v>7297</v>
      </c>
    </row>
    <row r="4720" spans="1:1" x14ac:dyDescent="0.25">
      <c r="A4720" s="19" t="s">
        <v>7298</v>
      </c>
    </row>
    <row r="4721" spans="1:1" x14ac:dyDescent="0.25">
      <c r="A4721" s="19" t="s">
        <v>7299</v>
      </c>
    </row>
    <row r="4722" spans="1:1" x14ac:dyDescent="0.25">
      <c r="A4722" s="19" t="s">
        <v>7300</v>
      </c>
    </row>
    <row r="4723" spans="1:1" x14ac:dyDescent="0.25">
      <c r="A4723" s="19" t="s">
        <v>7301</v>
      </c>
    </row>
    <row r="4724" spans="1:1" x14ac:dyDescent="0.25">
      <c r="A4724" s="19" t="s">
        <v>7302</v>
      </c>
    </row>
    <row r="4725" spans="1:1" x14ac:dyDescent="0.25">
      <c r="A4725" s="19" t="s">
        <v>7303</v>
      </c>
    </row>
    <row r="4726" spans="1:1" x14ac:dyDescent="0.25">
      <c r="A4726" s="19" t="s">
        <v>7304</v>
      </c>
    </row>
    <row r="4727" spans="1:1" x14ac:dyDescent="0.25">
      <c r="A4727" s="19" t="s">
        <v>7305</v>
      </c>
    </row>
    <row r="4728" spans="1:1" x14ac:dyDescent="0.25">
      <c r="A4728" s="19" t="s">
        <v>7306</v>
      </c>
    </row>
    <row r="4729" spans="1:1" x14ac:dyDescent="0.25">
      <c r="A4729" s="19" t="s">
        <v>7307</v>
      </c>
    </row>
    <row r="4730" spans="1:1" x14ac:dyDescent="0.25">
      <c r="A4730" s="19" t="s">
        <v>7308</v>
      </c>
    </row>
    <row r="4731" spans="1:1" x14ac:dyDescent="0.25">
      <c r="A4731" s="19" t="s">
        <v>7309</v>
      </c>
    </row>
    <row r="4732" spans="1:1" x14ac:dyDescent="0.25">
      <c r="A4732" s="19" t="s">
        <v>7310</v>
      </c>
    </row>
    <row r="4733" spans="1:1" x14ac:dyDescent="0.25">
      <c r="A4733" s="19" t="s">
        <v>7311</v>
      </c>
    </row>
    <row r="4734" spans="1:1" x14ac:dyDescent="0.25">
      <c r="A4734" s="19" t="s">
        <v>7312</v>
      </c>
    </row>
    <row r="4735" spans="1:1" x14ac:dyDescent="0.25">
      <c r="A4735" s="19" t="s">
        <v>7313</v>
      </c>
    </row>
    <row r="4736" spans="1:1" x14ac:dyDescent="0.25">
      <c r="A4736" s="19" t="s">
        <v>7314</v>
      </c>
    </row>
    <row r="4737" spans="1:1" x14ac:dyDescent="0.25">
      <c r="A4737" s="19" t="s">
        <v>7315</v>
      </c>
    </row>
    <row r="4738" spans="1:1" x14ac:dyDescent="0.25">
      <c r="A4738" s="19" t="s">
        <v>7316</v>
      </c>
    </row>
    <row r="4739" spans="1:1" x14ac:dyDescent="0.25">
      <c r="A4739" s="19" t="s">
        <v>7317</v>
      </c>
    </row>
    <row r="4740" spans="1:1" x14ac:dyDescent="0.25">
      <c r="A4740" s="19" t="s">
        <v>7318</v>
      </c>
    </row>
    <row r="4741" spans="1:1" x14ac:dyDescent="0.25">
      <c r="A4741" s="19" t="s">
        <v>7319</v>
      </c>
    </row>
    <row r="4742" spans="1:1" x14ac:dyDescent="0.25">
      <c r="A4742" s="19" t="s">
        <v>7320</v>
      </c>
    </row>
    <row r="4743" spans="1:1" x14ac:dyDescent="0.25">
      <c r="A4743" s="19" t="s">
        <v>7321</v>
      </c>
    </row>
    <row r="4744" spans="1:1" x14ac:dyDescent="0.25">
      <c r="A4744" s="19" t="s">
        <v>7322</v>
      </c>
    </row>
    <row r="4745" spans="1:1" x14ac:dyDescent="0.25">
      <c r="A4745" s="19" t="s">
        <v>7323</v>
      </c>
    </row>
    <row r="4746" spans="1:1" x14ac:dyDescent="0.25">
      <c r="A4746" s="19" t="s">
        <v>7324</v>
      </c>
    </row>
    <row r="4747" spans="1:1" x14ac:dyDescent="0.25">
      <c r="A4747" s="19" t="s">
        <v>7325</v>
      </c>
    </row>
    <row r="4748" spans="1:1" x14ac:dyDescent="0.25">
      <c r="A4748" s="19" t="s">
        <v>7326</v>
      </c>
    </row>
    <row r="4749" spans="1:1" x14ac:dyDescent="0.25">
      <c r="A4749" s="19" t="s">
        <v>7327</v>
      </c>
    </row>
    <row r="4750" spans="1:1" x14ac:dyDescent="0.25">
      <c r="A4750" s="19" t="s">
        <v>7328</v>
      </c>
    </row>
    <row r="4751" spans="1:1" x14ac:dyDescent="0.25">
      <c r="A4751" s="19" t="s">
        <v>7329</v>
      </c>
    </row>
    <row r="4752" spans="1:1" x14ac:dyDescent="0.25">
      <c r="A4752" s="19" t="s">
        <v>7330</v>
      </c>
    </row>
    <row r="4753" spans="1:1" x14ac:dyDescent="0.25">
      <c r="A4753" s="19" t="s">
        <v>7331</v>
      </c>
    </row>
    <row r="4754" spans="1:1" x14ac:dyDescent="0.25">
      <c r="A4754" s="19" t="s">
        <v>7332</v>
      </c>
    </row>
    <row r="4755" spans="1:1" x14ac:dyDescent="0.25">
      <c r="A4755" s="19" t="s">
        <v>7333</v>
      </c>
    </row>
    <row r="4756" spans="1:1" x14ac:dyDescent="0.25">
      <c r="A4756" s="19" t="s">
        <v>7334</v>
      </c>
    </row>
    <row r="4757" spans="1:1" x14ac:dyDescent="0.25">
      <c r="A4757" s="19" t="s">
        <v>7335</v>
      </c>
    </row>
    <row r="4758" spans="1:1" x14ac:dyDescent="0.25">
      <c r="A4758" s="19" t="s">
        <v>7336</v>
      </c>
    </row>
    <row r="4759" spans="1:1" x14ac:dyDescent="0.25">
      <c r="A4759" s="19" t="s">
        <v>7337</v>
      </c>
    </row>
    <row r="4760" spans="1:1" x14ac:dyDescent="0.25">
      <c r="A4760" s="19" t="s">
        <v>7338</v>
      </c>
    </row>
    <row r="4761" spans="1:1" x14ac:dyDescent="0.25">
      <c r="A4761" s="19" t="s">
        <v>7339</v>
      </c>
    </row>
    <row r="4762" spans="1:1" x14ac:dyDescent="0.25">
      <c r="A4762" s="19" t="s">
        <v>7340</v>
      </c>
    </row>
    <row r="4763" spans="1:1" x14ac:dyDescent="0.25">
      <c r="A4763" s="19" t="s">
        <v>7341</v>
      </c>
    </row>
    <row r="4764" spans="1:1" x14ac:dyDescent="0.25">
      <c r="A4764" s="19" t="s">
        <v>7342</v>
      </c>
    </row>
    <row r="4765" spans="1:1" x14ac:dyDescent="0.25">
      <c r="A4765" s="19" t="s">
        <v>7343</v>
      </c>
    </row>
    <row r="4766" spans="1:1" x14ac:dyDescent="0.25">
      <c r="A4766" s="19" t="s">
        <v>7344</v>
      </c>
    </row>
    <row r="4767" spans="1:1" x14ac:dyDescent="0.25">
      <c r="A4767" s="19" t="s">
        <v>7345</v>
      </c>
    </row>
    <row r="4768" spans="1:1" x14ac:dyDescent="0.25">
      <c r="A4768" s="19" t="s">
        <v>7346</v>
      </c>
    </row>
    <row r="4769" spans="1:1" x14ac:dyDescent="0.25">
      <c r="A4769" s="19" t="s">
        <v>7347</v>
      </c>
    </row>
    <row r="4770" spans="1:1" x14ac:dyDescent="0.25">
      <c r="A4770" s="19" t="s">
        <v>7348</v>
      </c>
    </row>
    <row r="4771" spans="1:1" x14ac:dyDescent="0.25">
      <c r="A4771" s="19" t="s">
        <v>7349</v>
      </c>
    </row>
    <row r="4772" spans="1:1" x14ac:dyDescent="0.25">
      <c r="A4772" s="19" t="s">
        <v>7350</v>
      </c>
    </row>
    <row r="4773" spans="1:1" x14ac:dyDescent="0.25">
      <c r="A4773" s="19" t="s">
        <v>7351</v>
      </c>
    </row>
    <row r="4774" spans="1:1" x14ac:dyDescent="0.25">
      <c r="A4774" s="19" t="s">
        <v>7352</v>
      </c>
    </row>
    <row r="4775" spans="1:1" x14ac:dyDescent="0.25">
      <c r="A4775" s="19" t="s">
        <v>7353</v>
      </c>
    </row>
    <row r="4776" spans="1:1" x14ac:dyDescent="0.25">
      <c r="A4776" s="19" t="s">
        <v>7354</v>
      </c>
    </row>
    <row r="4777" spans="1:1" x14ac:dyDescent="0.25">
      <c r="A4777" s="19" t="s">
        <v>7355</v>
      </c>
    </row>
    <row r="4778" spans="1:1" x14ac:dyDescent="0.25">
      <c r="A4778" s="19" t="s">
        <v>7356</v>
      </c>
    </row>
    <row r="4779" spans="1:1" x14ac:dyDescent="0.25">
      <c r="A4779" s="19" t="s">
        <v>7357</v>
      </c>
    </row>
    <row r="4780" spans="1:1" x14ac:dyDescent="0.25">
      <c r="A4780" s="19" t="s">
        <v>7358</v>
      </c>
    </row>
    <row r="4781" spans="1:1" x14ac:dyDescent="0.25">
      <c r="A4781" s="19" t="s">
        <v>7359</v>
      </c>
    </row>
    <row r="4782" spans="1:1" x14ac:dyDescent="0.25">
      <c r="A4782" s="19" t="s">
        <v>7360</v>
      </c>
    </row>
    <row r="4783" spans="1:1" x14ac:dyDescent="0.25">
      <c r="A4783" s="19" t="s">
        <v>7361</v>
      </c>
    </row>
    <row r="4784" spans="1:1" x14ac:dyDescent="0.25">
      <c r="A4784" s="19" t="s">
        <v>7362</v>
      </c>
    </row>
    <row r="4785" spans="1:1" x14ac:dyDescent="0.25">
      <c r="A4785" s="19" t="s">
        <v>7363</v>
      </c>
    </row>
    <row r="4786" spans="1:1" x14ac:dyDescent="0.25">
      <c r="A4786" s="19" t="s">
        <v>7364</v>
      </c>
    </row>
    <row r="4787" spans="1:1" x14ac:dyDescent="0.25">
      <c r="A4787" s="19" t="s">
        <v>7365</v>
      </c>
    </row>
    <row r="4788" spans="1:1" x14ac:dyDescent="0.25">
      <c r="A4788" s="19" t="s">
        <v>7366</v>
      </c>
    </row>
    <row r="4789" spans="1:1" x14ac:dyDescent="0.25">
      <c r="A4789" s="19" t="s">
        <v>7367</v>
      </c>
    </row>
    <row r="4790" spans="1:1" x14ac:dyDescent="0.25">
      <c r="A4790" s="19" t="s">
        <v>7368</v>
      </c>
    </row>
    <row r="4791" spans="1:1" x14ac:dyDescent="0.25">
      <c r="A4791" s="19" t="s">
        <v>7369</v>
      </c>
    </row>
    <row r="4792" spans="1:1" x14ac:dyDescent="0.25">
      <c r="A4792" s="19" t="s">
        <v>7370</v>
      </c>
    </row>
    <row r="4793" spans="1:1" x14ac:dyDescent="0.25">
      <c r="A4793" s="19" t="s">
        <v>7371</v>
      </c>
    </row>
    <row r="4794" spans="1:1" x14ac:dyDescent="0.25">
      <c r="A4794" s="19" t="s">
        <v>7372</v>
      </c>
    </row>
    <row r="4795" spans="1:1" x14ac:dyDescent="0.25">
      <c r="A4795" s="19" t="s">
        <v>7373</v>
      </c>
    </row>
    <row r="4796" spans="1:1" x14ac:dyDescent="0.25">
      <c r="A4796" s="19" t="s">
        <v>7374</v>
      </c>
    </row>
    <row r="4797" spans="1:1" x14ac:dyDescent="0.25">
      <c r="A4797" s="19" t="s">
        <v>7375</v>
      </c>
    </row>
    <row r="4798" spans="1:1" x14ac:dyDescent="0.25">
      <c r="A4798" s="19" t="s">
        <v>7376</v>
      </c>
    </row>
    <row r="4799" spans="1:1" x14ac:dyDescent="0.25">
      <c r="A4799" s="19" t="s">
        <v>7377</v>
      </c>
    </row>
    <row r="4800" spans="1:1" x14ac:dyDescent="0.25">
      <c r="A4800" s="19" t="s">
        <v>7378</v>
      </c>
    </row>
    <row r="4801" spans="1:1" x14ac:dyDescent="0.25">
      <c r="A4801" s="19" t="s">
        <v>7379</v>
      </c>
    </row>
    <row r="4802" spans="1:1" x14ac:dyDescent="0.25">
      <c r="A4802" s="19" t="s">
        <v>7380</v>
      </c>
    </row>
    <row r="4803" spans="1:1" x14ac:dyDescent="0.25">
      <c r="A4803" s="19" t="s">
        <v>7381</v>
      </c>
    </row>
    <row r="4804" spans="1:1" x14ac:dyDescent="0.25">
      <c r="A4804" s="19" t="s">
        <v>7382</v>
      </c>
    </row>
    <row r="4805" spans="1:1" x14ac:dyDescent="0.25">
      <c r="A4805" s="19" t="s">
        <v>7383</v>
      </c>
    </row>
    <row r="4806" spans="1:1" x14ac:dyDescent="0.25">
      <c r="A4806" s="19" t="s">
        <v>7384</v>
      </c>
    </row>
    <row r="4807" spans="1:1" x14ac:dyDescent="0.25">
      <c r="A4807" s="19" t="s">
        <v>7385</v>
      </c>
    </row>
    <row r="4808" spans="1:1" x14ac:dyDescent="0.25">
      <c r="A4808" s="19" t="s">
        <v>7386</v>
      </c>
    </row>
    <row r="4809" spans="1:1" x14ac:dyDescent="0.25">
      <c r="A4809" s="19" t="s">
        <v>7387</v>
      </c>
    </row>
    <row r="4810" spans="1:1" x14ac:dyDescent="0.25">
      <c r="A4810" s="19" t="s">
        <v>7388</v>
      </c>
    </row>
    <row r="4811" spans="1:1" x14ac:dyDescent="0.25">
      <c r="A4811" s="19" t="s">
        <v>7388</v>
      </c>
    </row>
    <row r="4812" spans="1:1" x14ac:dyDescent="0.25">
      <c r="A4812" s="19" t="s">
        <v>7389</v>
      </c>
    </row>
    <row r="4813" spans="1:1" x14ac:dyDescent="0.25">
      <c r="A4813" s="19" t="s">
        <v>7390</v>
      </c>
    </row>
    <row r="4814" spans="1:1" x14ac:dyDescent="0.25">
      <c r="A4814" s="19" t="s">
        <v>7391</v>
      </c>
    </row>
    <row r="4815" spans="1:1" x14ac:dyDescent="0.25">
      <c r="A4815" s="19" t="s">
        <v>7392</v>
      </c>
    </row>
    <row r="4816" spans="1:1" x14ac:dyDescent="0.25">
      <c r="A4816" s="19" t="s">
        <v>7393</v>
      </c>
    </row>
    <row r="4817" spans="1:1" x14ac:dyDescent="0.25">
      <c r="A4817" s="19" t="s">
        <v>7394</v>
      </c>
    </row>
    <row r="4818" spans="1:1" x14ac:dyDescent="0.25">
      <c r="A4818" s="19" t="s">
        <v>7395</v>
      </c>
    </row>
    <row r="4819" spans="1:1" x14ac:dyDescent="0.25">
      <c r="A4819" s="19" t="s">
        <v>7396</v>
      </c>
    </row>
    <row r="4820" spans="1:1" x14ac:dyDescent="0.25">
      <c r="A4820" s="19" t="s">
        <v>7397</v>
      </c>
    </row>
    <row r="4821" spans="1:1" x14ac:dyDescent="0.25">
      <c r="A4821" s="19" t="s">
        <v>7398</v>
      </c>
    </row>
    <row r="4822" spans="1:1" x14ac:dyDescent="0.25">
      <c r="A4822" s="19" t="s">
        <v>7399</v>
      </c>
    </row>
    <row r="4823" spans="1:1" x14ac:dyDescent="0.25">
      <c r="A4823" s="19" t="s">
        <v>7400</v>
      </c>
    </row>
    <row r="4824" spans="1:1" x14ac:dyDescent="0.25">
      <c r="A4824" s="19" t="s">
        <v>7401</v>
      </c>
    </row>
    <row r="4825" spans="1:1" x14ac:dyDescent="0.25">
      <c r="A4825" s="19" t="s">
        <v>7402</v>
      </c>
    </row>
    <row r="4826" spans="1:1" x14ac:dyDescent="0.25">
      <c r="A4826" s="19" t="s">
        <v>7403</v>
      </c>
    </row>
    <row r="4827" spans="1:1" x14ac:dyDescent="0.25">
      <c r="A4827" s="19" t="s">
        <v>7404</v>
      </c>
    </row>
    <row r="4828" spans="1:1" x14ac:dyDescent="0.25">
      <c r="A4828" s="19" t="s">
        <v>7405</v>
      </c>
    </row>
    <row r="4829" spans="1:1" x14ac:dyDescent="0.25">
      <c r="A4829" s="19" t="s">
        <v>7406</v>
      </c>
    </row>
    <row r="4830" spans="1:1" x14ac:dyDescent="0.25">
      <c r="A4830" s="19" t="s">
        <v>7407</v>
      </c>
    </row>
    <row r="4831" spans="1:1" x14ac:dyDescent="0.25">
      <c r="A4831" s="19" t="s">
        <v>7408</v>
      </c>
    </row>
    <row r="4832" spans="1:1" x14ac:dyDescent="0.25">
      <c r="A4832" s="19" t="s">
        <v>7409</v>
      </c>
    </row>
    <row r="4833" spans="1:1" x14ac:dyDescent="0.25">
      <c r="A4833" s="19" t="s">
        <v>7410</v>
      </c>
    </row>
    <row r="4834" spans="1:1" x14ac:dyDescent="0.25">
      <c r="A4834" s="19" t="s">
        <v>7410</v>
      </c>
    </row>
    <row r="4835" spans="1:1" x14ac:dyDescent="0.25">
      <c r="A4835" s="19" t="s">
        <v>7411</v>
      </c>
    </row>
    <row r="4836" spans="1:1" x14ac:dyDescent="0.25">
      <c r="A4836" s="19" t="s">
        <v>7412</v>
      </c>
    </row>
    <row r="4837" spans="1:1" x14ac:dyDescent="0.25">
      <c r="A4837" s="19" t="s">
        <v>7413</v>
      </c>
    </row>
    <row r="4838" spans="1:1" x14ac:dyDescent="0.25">
      <c r="A4838" s="19" t="s">
        <v>7414</v>
      </c>
    </row>
    <row r="4839" spans="1:1" x14ac:dyDescent="0.25">
      <c r="A4839" s="19" t="s">
        <v>7415</v>
      </c>
    </row>
    <row r="4840" spans="1:1" x14ac:dyDescent="0.25">
      <c r="A4840" s="19" t="s">
        <v>7416</v>
      </c>
    </row>
    <row r="4841" spans="1:1" x14ac:dyDescent="0.25">
      <c r="A4841" s="19" t="s">
        <v>7417</v>
      </c>
    </row>
    <row r="4842" spans="1:1" x14ac:dyDescent="0.25">
      <c r="A4842" s="19" t="s">
        <v>7418</v>
      </c>
    </row>
    <row r="4843" spans="1:1" x14ac:dyDescent="0.25">
      <c r="A4843" s="19" t="s">
        <v>7419</v>
      </c>
    </row>
    <row r="4844" spans="1:1" x14ac:dyDescent="0.25">
      <c r="A4844" s="19" t="s">
        <v>7420</v>
      </c>
    </row>
    <row r="4845" spans="1:1" x14ac:dyDescent="0.25">
      <c r="A4845" s="19" t="s">
        <v>7421</v>
      </c>
    </row>
    <row r="4846" spans="1:1" x14ac:dyDescent="0.25">
      <c r="A4846" s="19" t="s">
        <v>7422</v>
      </c>
    </row>
    <row r="4847" spans="1:1" x14ac:dyDescent="0.25">
      <c r="A4847" s="19" t="s">
        <v>7423</v>
      </c>
    </row>
    <row r="4848" spans="1:1" x14ac:dyDescent="0.25">
      <c r="A4848" s="19" t="s">
        <v>7424</v>
      </c>
    </row>
    <row r="4849" spans="1:1" x14ac:dyDescent="0.25">
      <c r="A4849" s="19" t="s">
        <v>7425</v>
      </c>
    </row>
    <row r="4850" spans="1:1" x14ac:dyDescent="0.25">
      <c r="A4850" s="19" t="s">
        <v>7426</v>
      </c>
    </row>
    <row r="4851" spans="1:1" x14ac:dyDescent="0.25">
      <c r="A4851" s="19" t="s">
        <v>7427</v>
      </c>
    </row>
    <row r="4852" spans="1:1" x14ac:dyDescent="0.25">
      <c r="A4852" s="19" t="s">
        <v>7428</v>
      </c>
    </row>
    <row r="4853" spans="1:1" x14ac:dyDescent="0.25">
      <c r="A4853" s="19" t="s">
        <v>7428</v>
      </c>
    </row>
    <row r="4854" spans="1:1" x14ac:dyDescent="0.25">
      <c r="A4854" s="19" t="s">
        <v>7429</v>
      </c>
    </row>
    <row r="4855" spans="1:1" x14ac:dyDescent="0.25">
      <c r="A4855" s="19" t="s">
        <v>7430</v>
      </c>
    </row>
    <row r="4856" spans="1:1" x14ac:dyDescent="0.25">
      <c r="A4856" s="19" t="s">
        <v>7431</v>
      </c>
    </row>
    <row r="4857" spans="1:1" x14ac:dyDescent="0.25">
      <c r="A4857" s="19" t="s">
        <v>7432</v>
      </c>
    </row>
    <row r="4858" spans="1:1" x14ac:dyDescent="0.25">
      <c r="A4858" s="19" t="s">
        <v>7433</v>
      </c>
    </row>
    <row r="4859" spans="1:1" x14ac:dyDescent="0.25">
      <c r="A4859" s="19" t="s">
        <v>7434</v>
      </c>
    </row>
    <row r="4860" spans="1:1" x14ac:dyDescent="0.25">
      <c r="A4860" s="19" t="s">
        <v>7435</v>
      </c>
    </row>
    <row r="4861" spans="1:1" x14ac:dyDescent="0.25">
      <c r="A4861" s="19" t="s">
        <v>7436</v>
      </c>
    </row>
    <row r="4862" spans="1:1" x14ac:dyDescent="0.25">
      <c r="A4862" s="19" t="s">
        <v>7437</v>
      </c>
    </row>
    <row r="4863" spans="1:1" x14ac:dyDescent="0.25">
      <c r="A4863" s="19" t="s">
        <v>7438</v>
      </c>
    </row>
    <row r="4864" spans="1:1" x14ac:dyDescent="0.25">
      <c r="A4864" s="19" t="s">
        <v>7439</v>
      </c>
    </row>
    <row r="4865" spans="1:1" x14ac:dyDescent="0.25">
      <c r="A4865" s="19" t="s">
        <v>7440</v>
      </c>
    </row>
    <row r="4866" spans="1:1" x14ac:dyDescent="0.25">
      <c r="A4866" s="19" t="s">
        <v>7441</v>
      </c>
    </row>
    <row r="4867" spans="1:1" x14ac:dyDescent="0.25">
      <c r="A4867" s="19" t="s">
        <v>7442</v>
      </c>
    </row>
    <row r="4868" spans="1:1" x14ac:dyDescent="0.25">
      <c r="A4868" s="19" t="s">
        <v>7443</v>
      </c>
    </row>
    <row r="4869" spans="1:1" x14ac:dyDescent="0.25">
      <c r="A4869" s="19" t="s">
        <v>7444</v>
      </c>
    </row>
    <row r="4870" spans="1:1" x14ac:dyDescent="0.25">
      <c r="A4870" s="19" t="s">
        <v>7445</v>
      </c>
    </row>
    <row r="4871" spans="1:1" x14ac:dyDescent="0.25">
      <c r="A4871" s="19" t="s">
        <v>7446</v>
      </c>
    </row>
    <row r="4872" spans="1:1" x14ac:dyDescent="0.25">
      <c r="A4872" s="19" t="s">
        <v>7447</v>
      </c>
    </row>
    <row r="4873" spans="1:1" x14ac:dyDescent="0.25">
      <c r="A4873" s="19" t="s">
        <v>7448</v>
      </c>
    </row>
    <row r="4874" spans="1:1" x14ac:dyDescent="0.25">
      <c r="A4874" s="19" t="s">
        <v>7449</v>
      </c>
    </row>
    <row r="4875" spans="1:1" x14ac:dyDescent="0.25">
      <c r="A4875" s="19" t="s">
        <v>7450</v>
      </c>
    </row>
    <row r="4876" spans="1:1" x14ac:dyDescent="0.25">
      <c r="A4876" s="19" t="s">
        <v>7451</v>
      </c>
    </row>
    <row r="4877" spans="1:1" x14ac:dyDescent="0.25">
      <c r="A4877" s="19" t="s">
        <v>7452</v>
      </c>
    </row>
    <row r="4878" spans="1:1" x14ac:dyDescent="0.25">
      <c r="A4878" s="19" t="s">
        <v>7453</v>
      </c>
    </row>
    <row r="4879" spans="1:1" x14ac:dyDescent="0.25">
      <c r="A4879" s="19" t="s">
        <v>7454</v>
      </c>
    </row>
    <row r="4880" spans="1:1" x14ac:dyDescent="0.25">
      <c r="A4880" s="19" t="s">
        <v>7455</v>
      </c>
    </row>
    <row r="4881" spans="1:1" x14ac:dyDescent="0.25">
      <c r="A4881" s="19" t="s">
        <v>7456</v>
      </c>
    </row>
    <row r="4882" spans="1:1" x14ac:dyDescent="0.25">
      <c r="A4882" s="19" t="s">
        <v>7457</v>
      </c>
    </row>
    <row r="4883" spans="1:1" x14ac:dyDescent="0.25">
      <c r="A4883" s="19" t="s">
        <v>7458</v>
      </c>
    </row>
    <row r="4884" spans="1:1" x14ac:dyDescent="0.25">
      <c r="A4884" s="19" t="s">
        <v>7459</v>
      </c>
    </row>
    <row r="4885" spans="1:1" x14ac:dyDescent="0.25">
      <c r="A4885" s="19" t="s">
        <v>7460</v>
      </c>
    </row>
    <row r="4886" spans="1:1" x14ac:dyDescent="0.25">
      <c r="A4886" s="19" t="s">
        <v>7461</v>
      </c>
    </row>
    <row r="4887" spans="1:1" x14ac:dyDescent="0.25">
      <c r="A4887" s="19" t="s">
        <v>7462</v>
      </c>
    </row>
    <row r="4888" spans="1:1" x14ac:dyDescent="0.25">
      <c r="A4888" s="19" t="s">
        <v>7463</v>
      </c>
    </row>
    <row r="4889" spans="1:1" x14ac:dyDescent="0.25">
      <c r="A4889" s="19" t="s">
        <v>7464</v>
      </c>
    </row>
    <row r="4890" spans="1:1" x14ac:dyDescent="0.25">
      <c r="A4890" s="19" t="s">
        <v>7465</v>
      </c>
    </row>
    <row r="4891" spans="1:1" x14ac:dyDescent="0.25">
      <c r="A4891" s="19" t="s">
        <v>7466</v>
      </c>
    </row>
    <row r="4892" spans="1:1" x14ac:dyDescent="0.25">
      <c r="A4892" s="19" t="s">
        <v>7467</v>
      </c>
    </row>
    <row r="4893" spans="1:1" x14ac:dyDescent="0.25">
      <c r="A4893" s="19" t="s">
        <v>7467</v>
      </c>
    </row>
    <row r="4894" spans="1:1" x14ac:dyDescent="0.25">
      <c r="A4894" s="19" t="s">
        <v>7467</v>
      </c>
    </row>
    <row r="4895" spans="1:1" x14ac:dyDescent="0.25">
      <c r="A4895" s="19" t="s">
        <v>7468</v>
      </c>
    </row>
    <row r="4896" spans="1:1" x14ac:dyDescent="0.25">
      <c r="A4896" s="19" t="s">
        <v>7468</v>
      </c>
    </row>
    <row r="4897" spans="1:1" x14ac:dyDescent="0.25">
      <c r="A4897" s="19" t="s">
        <v>7469</v>
      </c>
    </row>
    <row r="4898" spans="1:1" x14ac:dyDescent="0.25">
      <c r="A4898" s="19" t="s">
        <v>7470</v>
      </c>
    </row>
    <row r="4899" spans="1:1" x14ac:dyDescent="0.25">
      <c r="A4899" s="19" t="s">
        <v>7471</v>
      </c>
    </row>
    <row r="4900" spans="1:1" x14ac:dyDescent="0.25">
      <c r="A4900" s="19" t="s">
        <v>7472</v>
      </c>
    </row>
    <row r="4901" spans="1:1" x14ac:dyDescent="0.25">
      <c r="A4901" s="19" t="s">
        <v>7473</v>
      </c>
    </row>
    <row r="4902" spans="1:1" x14ac:dyDescent="0.25">
      <c r="A4902" s="19" t="s">
        <v>7474</v>
      </c>
    </row>
    <row r="4903" spans="1:1" x14ac:dyDescent="0.25">
      <c r="A4903" s="19" t="s">
        <v>7475</v>
      </c>
    </row>
    <row r="4904" spans="1:1" x14ac:dyDescent="0.25">
      <c r="A4904" s="19" t="s">
        <v>7476</v>
      </c>
    </row>
    <row r="4905" spans="1:1" x14ac:dyDescent="0.25">
      <c r="A4905" s="19" t="s">
        <v>7477</v>
      </c>
    </row>
    <row r="4906" spans="1:1" x14ac:dyDescent="0.25">
      <c r="A4906" s="19" t="s">
        <v>7478</v>
      </c>
    </row>
    <row r="4907" spans="1:1" x14ac:dyDescent="0.25">
      <c r="A4907" s="19" t="s">
        <v>7479</v>
      </c>
    </row>
    <row r="4908" spans="1:1" x14ac:dyDescent="0.25">
      <c r="A4908" s="19" t="s">
        <v>7480</v>
      </c>
    </row>
    <row r="4909" spans="1:1" x14ac:dyDescent="0.25">
      <c r="A4909" s="19" t="s">
        <v>7481</v>
      </c>
    </row>
    <row r="4910" spans="1:1" x14ac:dyDescent="0.25">
      <c r="A4910" s="19" t="s">
        <v>7482</v>
      </c>
    </row>
    <row r="4911" spans="1:1" x14ac:dyDescent="0.25">
      <c r="A4911" s="19" t="s">
        <v>7483</v>
      </c>
    </row>
    <row r="4912" spans="1:1" x14ac:dyDescent="0.25">
      <c r="A4912" s="19" t="s">
        <v>7484</v>
      </c>
    </row>
    <row r="4913" spans="1:1" x14ac:dyDescent="0.25">
      <c r="A4913" s="19" t="s">
        <v>7484</v>
      </c>
    </row>
    <row r="4914" spans="1:1" x14ac:dyDescent="0.25">
      <c r="A4914" s="19" t="s">
        <v>7484</v>
      </c>
    </row>
    <row r="4915" spans="1:1" x14ac:dyDescent="0.25">
      <c r="A4915" s="19" t="s">
        <v>7485</v>
      </c>
    </row>
    <row r="4916" spans="1:1" x14ac:dyDescent="0.25">
      <c r="A4916" s="19" t="s">
        <v>7486</v>
      </c>
    </row>
    <row r="4917" spans="1:1" x14ac:dyDescent="0.25">
      <c r="A4917" s="19" t="s">
        <v>7487</v>
      </c>
    </row>
    <row r="4918" spans="1:1" x14ac:dyDescent="0.25">
      <c r="A4918" s="19" t="s">
        <v>7488</v>
      </c>
    </row>
    <row r="4919" spans="1:1" x14ac:dyDescent="0.25">
      <c r="A4919" s="19" t="s">
        <v>7489</v>
      </c>
    </row>
    <row r="4920" spans="1:1" x14ac:dyDescent="0.25">
      <c r="A4920" s="19" t="s">
        <v>7490</v>
      </c>
    </row>
    <row r="4921" spans="1:1" x14ac:dyDescent="0.25">
      <c r="A4921" s="19" t="s">
        <v>7491</v>
      </c>
    </row>
    <row r="4922" spans="1:1" x14ac:dyDescent="0.25">
      <c r="A4922" s="19" t="s">
        <v>7492</v>
      </c>
    </row>
    <row r="4923" spans="1:1" x14ac:dyDescent="0.25">
      <c r="A4923" s="19" t="s">
        <v>7493</v>
      </c>
    </row>
    <row r="4924" spans="1:1" x14ac:dyDescent="0.25">
      <c r="A4924" s="19" t="s">
        <v>7494</v>
      </c>
    </row>
    <row r="4925" spans="1:1" x14ac:dyDescent="0.25">
      <c r="A4925" s="19" t="s">
        <v>7495</v>
      </c>
    </row>
    <row r="4926" spans="1:1" x14ac:dyDescent="0.25">
      <c r="A4926" s="19" t="s">
        <v>7496</v>
      </c>
    </row>
    <row r="4927" spans="1:1" x14ac:dyDescent="0.25">
      <c r="A4927" s="19" t="s">
        <v>7497</v>
      </c>
    </row>
    <row r="4928" spans="1:1" x14ac:dyDescent="0.25">
      <c r="A4928" s="19" t="s">
        <v>7498</v>
      </c>
    </row>
    <row r="4929" spans="1:1" x14ac:dyDescent="0.25">
      <c r="A4929" s="19" t="s">
        <v>7499</v>
      </c>
    </row>
    <row r="4930" spans="1:1" x14ac:dyDescent="0.25">
      <c r="A4930" s="19" t="s">
        <v>7500</v>
      </c>
    </row>
    <row r="4931" spans="1:1" x14ac:dyDescent="0.25">
      <c r="A4931" s="19" t="s">
        <v>7501</v>
      </c>
    </row>
    <row r="4932" spans="1:1" x14ac:dyDescent="0.25">
      <c r="A4932" s="19" t="s">
        <v>7502</v>
      </c>
    </row>
    <row r="4933" spans="1:1" x14ac:dyDescent="0.25">
      <c r="A4933" s="19" t="s">
        <v>7503</v>
      </c>
    </row>
    <row r="4934" spans="1:1" x14ac:dyDescent="0.25">
      <c r="A4934" s="19" t="s">
        <v>7504</v>
      </c>
    </row>
    <row r="4935" spans="1:1" x14ac:dyDescent="0.25">
      <c r="A4935" s="19" t="s">
        <v>7505</v>
      </c>
    </row>
    <row r="4936" spans="1:1" x14ac:dyDescent="0.25">
      <c r="A4936" s="19" t="s">
        <v>7506</v>
      </c>
    </row>
    <row r="4937" spans="1:1" x14ac:dyDescent="0.25">
      <c r="A4937" s="19" t="s">
        <v>7507</v>
      </c>
    </row>
    <row r="4938" spans="1:1" x14ac:dyDescent="0.25">
      <c r="A4938" s="19" t="s">
        <v>7508</v>
      </c>
    </row>
    <row r="4939" spans="1:1" x14ac:dyDescent="0.25">
      <c r="A4939" s="19" t="s">
        <v>7509</v>
      </c>
    </row>
    <row r="4940" spans="1:1" x14ac:dyDescent="0.25">
      <c r="A4940" s="19" t="s">
        <v>7510</v>
      </c>
    </row>
    <row r="4941" spans="1:1" x14ac:dyDescent="0.25">
      <c r="A4941" s="19" t="s">
        <v>7511</v>
      </c>
    </row>
    <row r="4942" spans="1:1" x14ac:dyDescent="0.25">
      <c r="A4942" s="19" t="s">
        <v>7512</v>
      </c>
    </row>
    <row r="4943" spans="1:1" x14ac:dyDescent="0.25">
      <c r="A4943" s="19" t="s">
        <v>7513</v>
      </c>
    </row>
    <row r="4944" spans="1:1" x14ac:dyDescent="0.25">
      <c r="A4944" s="19" t="s">
        <v>7514</v>
      </c>
    </row>
    <row r="4945" spans="1:1" x14ac:dyDescent="0.25">
      <c r="A4945" s="19" t="s">
        <v>7515</v>
      </c>
    </row>
    <row r="4946" spans="1:1" x14ac:dyDescent="0.25">
      <c r="A4946" s="19" t="s">
        <v>7516</v>
      </c>
    </row>
    <row r="4947" spans="1:1" x14ac:dyDescent="0.25">
      <c r="A4947" s="19" t="s">
        <v>7517</v>
      </c>
    </row>
    <row r="4948" spans="1:1" x14ac:dyDescent="0.25">
      <c r="A4948" s="19" t="s">
        <v>7518</v>
      </c>
    </row>
    <row r="4949" spans="1:1" x14ac:dyDescent="0.25">
      <c r="A4949" s="19" t="s">
        <v>7519</v>
      </c>
    </row>
    <row r="4950" spans="1:1" x14ac:dyDescent="0.25">
      <c r="A4950" s="19" t="s">
        <v>7520</v>
      </c>
    </row>
    <row r="4951" spans="1:1" x14ac:dyDescent="0.25">
      <c r="A4951" s="19" t="s">
        <v>7521</v>
      </c>
    </row>
    <row r="4952" spans="1:1" x14ac:dyDescent="0.25">
      <c r="A4952" s="19" t="s">
        <v>7521</v>
      </c>
    </row>
    <row r="4953" spans="1:1" x14ac:dyDescent="0.25">
      <c r="A4953" s="19" t="s">
        <v>7522</v>
      </c>
    </row>
    <row r="4954" spans="1:1" x14ac:dyDescent="0.25">
      <c r="A4954" s="19" t="s">
        <v>7523</v>
      </c>
    </row>
    <row r="4955" spans="1:1" x14ac:dyDescent="0.25">
      <c r="A4955" s="19" t="s">
        <v>7524</v>
      </c>
    </row>
    <row r="4956" spans="1:1" x14ac:dyDescent="0.25">
      <c r="A4956" s="19" t="s">
        <v>7525</v>
      </c>
    </row>
    <row r="4957" spans="1:1" x14ac:dyDescent="0.25">
      <c r="A4957" s="19" t="s">
        <v>7526</v>
      </c>
    </row>
    <row r="4958" spans="1:1" x14ac:dyDescent="0.25">
      <c r="A4958" s="19" t="s">
        <v>7527</v>
      </c>
    </row>
    <row r="4959" spans="1:1" x14ac:dyDescent="0.25">
      <c r="A4959" s="19" t="s">
        <v>7528</v>
      </c>
    </row>
    <row r="4960" spans="1:1" x14ac:dyDescent="0.25">
      <c r="A4960" s="19" t="s">
        <v>7529</v>
      </c>
    </row>
    <row r="4961" spans="1:1" x14ac:dyDescent="0.25">
      <c r="A4961" s="19" t="s">
        <v>7530</v>
      </c>
    </row>
    <row r="4962" spans="1:1" x14ac:dyDescent="0.25">
      <c r="A4962" s="19" t="s">
        <v>7531</v>
      </c>
    </row>
    <row r="4963" spans="1:1" x14ac:dyDescent="0.25">
      <c r="A4963" s="19" t="s">
        <v>7532</v>
      </c>
    </row>
    <row r="4964" spans="1:1" x14ac:dyDescent="0.25">
      <c r="A4964" s="19" t="s">
        <v>7533</v>
      </c>
    </row>
    <row r="4965" spans="1:1" x14ac:dyDescent="0.25">
      <c r="A4965" s="19" t="s">
        <v>7534</v>
      </c>
    </row>
    <row r="4966" spans="1:1" x14ac:dyDescent="0.25">
      <c r="A4966" s="19" t="s">
        <v>7535</v>
      </c>
    </row>
    <row r="4967" spans="1:1" x14ac:dyDescent="0.25">
      <c r="A4967" s="19" t="s">
        <v>7536</v>
      </c>
    </row>
    <row r="4968" spans="1:1" x14ac:dyDescent="0.25">
      <c r="A4968" s="19" t="s">
        <v>7537</v>
      </c>
    </row>
    <row r="4969" spans="1:1" x14ac:dyDescent="0.25">
      <c r="A4969" s="19" t="s">
        <v>7538</v>
      </c>
    </row>
    <row r="4970" spans="1:1" x14ac:dyDescent="0.25">
      <c r="A4970" s="19" t="s">
        <v>7539</v>
      </c>
    </row>
    <row r="4971" spans="1:1" x14ac:dyDescent="0.25">
      <c r="A4971" s="19" t="s">
        <v>7540</v>
      </c>
    </row>
    <row r="4972" spans="1:1" x14ac:dyDescent="0.25">
      <c r="A4972" s="19" t="s">
        <v>7541</v>
      </c>
    </row>
    <row r="4973" spans="1:1" x14ac:dyDescent="0.25">
      <c r="A4973" s="19" t="s">
        <v>7542</v>
      </c>
    </row>
    <row r="4974" spans="1:1" x14ac:dyDescent="0.25">
      <c r="A4974" s="19" t="s">
        <v>7543</v>
      </c>
    </row>
    <row r="4975" spans="1:1" x14ac:dyDescent="0.25">
      <c r="A4975" s="19" t="s">
        <v>7544</v>
      </c>
    </row>
    <row r="4976" spans="1:1" x14ac:dyDescent="0.25">
      <c r="A4976" s="19" t="s">
        <v>7545</v>
      </c>
    </row>
    <row r="4977" spans="1:1" x14ac:dyDescent="0.25">
      <c r="A4977" s="19" t="s">
        <v>7546</v>
      </c>
    </row>
    <row r="4978" spans="1:1" x14ac:dyDescent="0.25">
      <c r="A4978" s="19" t="s">
        <v>7547</v>
      </c>
    </row>
    <row r="4979" spans="1:1" x14ac:dyDescent="0.25">
      <c r="A4979" s="19" t="s">
        <v>7548</v>
      </c>
    </row>
    <row r="4980" spans="1:1" x14ac:dyDescent="0.25">
      <c r="A4980" s="19" t="s">
        <v>7549</v>
      </c>
    </row>
    <row r="4981" spans="1:1" x14ac:dyDescent="0.25">
      <c r="A4981" s="19" t="s">
        <v>7550</v>
      </c>
    </row>
    <row r="4982" spans="1:1" x14ac:dyDescent="0.25">
      <c r="A4982" s="19" t="s">
        <v>7551</v>
      </c>
    </row>
    <row r="4983" spans="1:1" x14ac:dyDescent="0.25">
      <c r="A4983" s="19" t="s">
        <v>7552</v>
      </c>
    </row>
    <row r="4984" spans="1:1" x14ac:dyDescent="0.25">
      <c r="A4984" s="19" t="s">
        <v>7553</v>
      </c>
    </row>
    <row r="4985" spans="1:1" x14ac:dyDescent="0.25">
      <c r="A4985" s="19" t="s">
        <v>7554</v>
      </c>
    </row>
    <row r="4986" spans="1:1" x14ac:dyDescent="0.25">
      <c r="A4986" s="19" t="s">
        <v>7554</v>
      </c>
    </row>
    <row r="4987" spans="1:1" x14ac:dyDescent="0.25">
      <c r="A4987" s="19" t="s">
        <v>7555</v>
      </c>
    </row>
    <row r="4988" spans="1:1" x14ac:dyDescent="0.25">
      <c r="A4988" s="19" t="s">
        <v>7556</v>
      </c>
    </row>
    <row r="4989" spans="1:1" x14ac:dyDescent="0.25">
      <c r="A4989" s="19" t="s">
        <v>7557</v>
      </c>
    </row>
    <row r="4990" spans="1:1" x14ac:dyDescent="0.25">
      <c r="A4990" s="19" t="s">
        <v>7558</v>
      </c>
    </row>
    <row r="4991" spans="1:1" x14ac:dyDescent="0.25">
      <c r="A4991" s="19" t="s">
        <v>7558</v>
      </c>
    </row>
    <row r="4992" spans="1:1" x14ac:dyDescent="0.25">
      <c r="A4992" s="19" t="s">
        <v>7558</v>
      </c>
    </row>
    <row r="4993" spans="1:1" x14ac:dyDescent="0.25">
      <c r="A4993" s="19" t="s">
        <v>7559</v>
      </c>
    </row>
    <row r="4994" spans="1:1" x14ac:dyDescent="0.25">
      <c r="A4994" s="19" t="s">
        <v>7560</v>
      </c>
    </row>
    <row r="4995" spans="1:1" x14ac:dyDescent="0.25">
      <c r="A4995" s="19" t="s">
        <v>7561</v>
      </c>
    </row>
    <row r="4996" spans="1:1" x14ac:dyDescent="0.25">
      <c r="A4996" s="19" t="s">
        <v>7562</v>
      </c>
    </row>
    <row r="4997" spans="1:1" x14ac:dyDescent="0.25">
      <c r="A4997" s="19" t="s">
        <v>7563</v>
      </c>
    </row>
    <row r="4998" spans="1:1" x14ac:dyDescent="0.25">
      <c r="A4998" s="19" t="s">
        <v>7564</v>
      </c>
    </row>
    <row r="4999" spans="1:1" x14ac:dyDescent="0.25">
      <c r="A4999" s="19" t="s">
        <v>7565</v>
      </c>
    </row>
    <row r="5000" spans="1:1" x14ac:dyDescent="0.25">
      <c r="A5000" s="19" t="s">
        <v>7566</v>
      </c>
    </row>
    <row r="5001" spans="1:1" x14ac:dyDescent="0.25">
      <c r="A5001" s="19" t="s">
        <v>7567</v>
      </c>
    </row>
    <row r="5002" spans="1:1" x14ac:dyDescent="0.25">
      <c r="A5002" s="19" t="s">
        <v>7568</v>
      </c>
    </row>
    <row r="5003" spans="1:1" x14ac:dyDescent="0.25">
      <c r="A5003" s="19" t="s">
        <v>7569</v>
      </c>
    </row>
    <row r="5004" spans="1:1" x14ac:dyDescent="0.25">
      <c r="A5004" s="19" t="s">
        <v>7570</v>
      </c>
    </row>
    <row r="5005" spans="1:1" x14ac:dyDescent="0.25">
      <c r="A5005" s="19" t="s">
        <v>7571</v>
      </c>
    </row>
    <row r="5006" spans="1:1" x14ac:dyDescent="0.25">
      <c r="A5006" s="19" t="s">
        <v>7572</v>
      </c>
    </row>
    <row r="5007" spans="1:1" x14ac:dyDescent="0.25">
      <c r="A5007" s="19" t="s">
        <v>7573</v>
      </c>
    </row>
    <row r="5008" spans="1:1" x14ac:dyDescent="0.25">
      <c r="A5008" s="19" t="s">
        <v>7574</v>
      </c>
    </row>
    <row r="5009" spans="1:1" x14ac:dyDescent="0.25">
      <c r="A5009" s="19" t="s">
        <v>7575</v>
      </c>
    </row>
    <row r="5010" spans="1:1" x14ac:dyDescent="0.25">
      <c r="A5010" s="19" t="s">
        <v>7576</v>
      </c>
    </row>
    <row r="5011" spans="1:1" x14ac:dyDescent="0.25">
      <c r="A5011" s="19" t="s">
        <v>7577</v>
      </c>
    </row>
    <row r="5012" spans="1:1" x14ac:dyDescent="0.25">
      <c r="A5012" s="19" t="s">
        <v>7578</v>
      </c>
    </row>
    <row r="5013" spans="1:1" x14ac:dyDescent="0.25">
      <c r="A5013" s="19" t="s">
        <v>7579</v>
      </c>
    </row>
    <row r="5014" spans="1:1" x14ac:dyDescent="0.25">
      <c r="A5014" s="19" t="s">
        <v>7580</v>
      </c>
    </row>
    <row r="5015" spans="1:1" x14ac:dyDescent="0.25">
      <c r="A5015" s="19" t="s">
        <v>7581</v>
      </c>
    </row>
    <row r="5016" spans="1:1" x14ac:dyDescent="0.25">
      <c r="A5016" s="19" t="s">
        <v>7582</v>
      </c>
    </row>
    <row r="5017" spans="1:1" x14ac:dyDescent="0.25">
      <c r="A5017" s="19" t="s">
        <v>7583</v>
      </c>
    </row>
    <row r="5018" spans="1:1" x14ac:dyDescent="0.25">
      <c r="A5018" s="19" t="s">
        <v>7584</v>
      </c>
    </row>
    <row r="5019" spans="1:1" x14ac:dyDescent="0.25">
      <c r="A5019" s="19" t="s">
        <v>7585</v>
      </c>
    </row>
    <row r="5020" spans="1:1" x14ac:dyDescent="0.25">
      <c r="A5020" s="19" t="s">
        <v>7586</v>
      </c>
    </row>
    <row r="5021" spans="1:1" x14ac:dyDescent="0.25">
      <c r="A5021" s="19" t="s">
        <v>7587</v>
      </c>
    </row>
    <row r="5022" spans="1:1" x14ac:dyDescent="0.25">
      <c r="A5022" s="19" t="s">
        <v>7588</v>
      </c>
    </row>
    <row r="5023" spans="1:1" x14ac:dyDescent="0.25">
      <c r="A5023" s="19" t="s">
        <v>7589</v>
      </c>
    </row>
    <row r="5024" spans="1:1" x14ac:dyDescent="0.25">
      <c r="A5024" s="19" t="s">
        <v>7590</v>
      </c>
    </row>
    <row r="5025" spans="1:1" x14ac:dyDescent="0.25">
      <c r="A5025" s="19" t="s">
        <v>7591</v>
      </c>
    </row>
    <row r="5026" spans="1:1" x14ac:dyDescent="0.25">
      <c r="A5026" s="19" t="s">
        <v>7592</v>
      </c>
    </row>
    <row r="5027" spans="1:1" x14ac:dyDescent="0.25">
      <c r="A5027" s="19" t="s">
        <v>7593</v>
      </c>
    </row>
    <row r="5028" spans="1:1" x14ac:dyDescent="0.25">
      <c r="A5028" s="19" t="s">
        <v>7594</v>
      </c>
    </row>
    <row r="5029" spans="1:1" x14ac:dyDescent="0.25">
      <c r="A5029" s="19" t="s">
        <v>7595</v>
      </c>
    </row>
    <row r="5030" spans="1:1" x14ac:dyDescent="0.25">
      <c r="A5030" s="19" t="s">
        <v>7596</v>
      </c>
    </row>
    <row r="5031" spans="1:1" x14ac:dyDescent="0.25">
      <c r="A5031" s="19" t="s">
        <v>7597</v>
      </c>
    </row>
    <row r="5032" spans="1:1" x14ac:dyDescent="0.25">
      <c r="A5032" s="19" t="s">
        <v>7598</v>
      </c>
    </row>
    <row r="5033" spans="1:1" x14ac:dyDescent="0.25">
      <c r="A5033" s="19" t="s">
        <v>7599</v>
      </c>
    </row>
    <row r="5034" spans="1:1" x14ac:dyDescent="0.25">
      <c r="A5034" s="19" t="s">
        <v>7600</v>
      </c>
    </row>
    <row r="5035" spans="1:1" x14ac:dyDescent="0.25">
      <c r="A5035" s="19" t="s">
        <v>7601</v>
      </c>
    </row>
    <row r="5036" spans="1:1" x14ac:dyDescent="0.25">
      <c r="A5036" s="19" t="s">
        <v>7602</v>
      </c>
    </row>
    <row r="5037" spans="1:1" x14ac:dyDescent="0.25">
      <c r="A5037" s="19" t="s">
        <v>7603</v>
      </c>
    </row>
    <row r="5038" spans="1:1" x14ac:dyDescent="0.25">
      <c r="A5038" s="19" t="s">
        <v>7604</v>
      </c>
    </row>
    <row r="5039" spans="1:1" x14ac:dyDescent="0.25">
      <c r="A5039" s="19" t="s">
        <v>7605</v>
      </c>
    </row>
    <row r="5040" spans="1:1" x14ac:dyDescent="0.25">
      <c r="A5040" s="19" t="s">
        <v>7606</v>
      </c>
    </row>
    <row r="5041" spans="1:1" x14ac:dyDescent="0.25">
      <c r="A5041" s="19" t="s">
        <v>7606</v>
      </c>
    </row>
    <row r="5042" spans="1:1" x14ac:dyDescent="0.25">
      <c r="A5042" s="19" t="s">
        <v>7606</v>
      </c>
    </row>
    <row r="5043" spans="1:1" x14ac:dyDescent="0.25">
      <c r="A5043" s="19" t="s">
        <v>7607</v>
      </c>
    </row>
    <row r="5044" spans="1:1" x14ac:dyDescent="0.25">
      <c r="A5044" s="19" t="s">
        <v>7608</v>
      </c>
    </row>
    <row r="5045" spans="1:1" x14ac:dyDescent="0.25">
      <c r="A5045" s="19" t="s">
        <v>7609</v>
      </c>
    </row>
    <row r="5046" spans="1:1" x14ac:dyDescent="0.25">
      <c r="A5046" s="19" t="s">
        <v>7610</v>
      </c>
    </row>
    <row r="5047" spans="1:1" x14ac:dyDescent="0.25">
      <c r="A5047" s="19" t="s">
        <v>7611</v>
      </c>
    </row>
    <row r="5048" spans="1:1" x14ac:dyDescent="0.25">
      <c r="A5048" s="19" t="s">
        <v>7612</v>
      </c>
    </row>
    <row r="5049" spans="1:1" x14ac:dyDescent="0.25">
      <c r="A5049" s="19" t="s">
        <v>7613</v>
      </c>
    </row>
    <row r="5050" spans="1:1" x14ac:dyDescent="0.25">
      <c r="A5050" s="19" t="s">
        <v>7614</v>
      </c>
    </row>
    <row r="5051" spans="1:1" x14ac:dyDescent="0.25">
      <c r="A5051" s="19" t="s">
        <v>7615</v>
      </c>
    </row>
    <row r="5052" spans="1:1" x14ac:dyDescent="0.25">
      <c r="A5052" s="19" t="s">
        <v>7616</v>
      </c>
    </row>
    <row r="5053" spans="1:1" x14ac:dyDescent="0.25">
      <c r="A5053" s="19" t="s">
        <v>7617</v>
      </c>
    </row>
    <row r="5054" spans="1:1" x14ac:dyDescent="0.25">
      <c r="A5054" s="19" t="s">
        <v>7617</v>
      </c>
    </row>
    <row r="5055" spans="1:1" x14ac:dyDescent="0.25">
      <c r="A5055" s="19" t="s">
        <v>7618</v>
      </c>
    </row>
    <row r="5056" spans="1:1" x14ac:dyDescent="0.25">
      <c r="A5056" s="19" t="s">
        <v>7619</v>
      </c>
    </row>
    <row r="5057" spans="1:1" x14ac:dyDescent="0.25">
      <c r="A5057" s="19" t="s">
        <v>7620</v>
      </c>
    </row>
    <row r="5058" spans="1:1" x14ac:dyDescent="0.25">
      <c r="A5058" s="19" t="s">
        <v>7621</v>
      </c>
    </row>
    <row r="5059" spans="1:1" x14ac:dyDescent="0.25">
      <c r="A5059" s="19" t="s">
        <v>7622</v>
      </c>
    </row>
    <row r="5060" spans="1:1" x14ac:dyDescent="0.25">
      <c r="A5060" s="19" t="s">
        <v>7623</v>
      </c>
    </row>
    <row r="5061" spans="1:1" x14ac:dyDescent="0.25">
      <c r="A5061" s="19" t="s">
        <v>7624</v>
      </c>
    </row>
    <row r="5062" spans="1:1" x14ac:dyDescent="0.25">
      <c r="A5062" s="19" t="s">
        <v>7625</v>
      </c>
    </row>
    <row r="5063" spans="1:1" x14ac:dyDescent="0.25">
      <c r="A5063" s="19" t="s">
        <v>7626</v>
      </c>
    </row>
    <row r="5064" spans="1:1" x14ac:dyDescent="0.25">
      <c r="A5064" s="19" t="s">
        <v>7627</v>
      </c>
    </row>
    <row r="5065" spans="1:1" x14ac:dyDescent="0.25">
      <c r="A5065" s="19" t="s">
        <v>7628</v>
      </c>
    </row>
    <row r="5066" spans="1:1" x14ac:dyDescent="0.25">
      <c r="A5066" s="19" t="s">
        <v>7629</v>
      </c>
    </row>
    <row r="5067" spans="1:1" x14ac:dyDescent="0.25">
      <c r="A5067" s="19" t="s">
        <v>7630</v>
      </c>
    </row>
    <row r="5068" spans="1:1" x14ac:dyDescent="0.25">
      <c r="A5068" s="19" t="s">
        <v>7631</v>
      </c>
    </row>
    <row r="5069" spans="1:1" x14ac:dyDescent="0.25">
      <c r="A5069" s="19" t="s">
        <v>7632</v>
      </c>
    </row>
    <row r="5070" spans="1:1" x14ac:dyDescent="0.25">
      <c r="A5070" s="19" t="s">
        <v>7633</v>
      </c>
    </row>
    <row r="5071" spans="1:1" x14ac:dyDescent="0.25">
      <c r="A5071" s="19" t="s">
        <v>7634</v>
      </c>
    </row>
    <row r="5072" spans="1:1" x14ac:dyDescent="0.25">
      <c r="A5072" s="19" t="s">
        <v>7635</v>
      </c>
    </row>
    <row r="5073" spans="1:1" x14ac:dyDescent="0.25">
      <c r="A5073" s="19" t="s">
        <v>7636</v>
      </c>
    </row>
    <row r="5074" spans="1:1" x14ac:dyDescent="0.25">
      <c r="A5074" s="19" t="s">
        <v>7637</v>
      </c>
    </row>
    <row r="5075" spans="1:1" x14ac:dyDescent="0.25">
      <c r="A5075" s="19" t="s">
        <v>7638</v>
      </c>
    </row>
    <row r="5076" spans="1:1" x14ac:dyDescent="0.25">
      <c r="A5076" s="19" t="s">
        <v>7639</v>
      </c>
    </row>
    <row r="5077" spans="1:1" x14ac:dyDescent="0.25">
      <c r="A5077" s="19" t="s">
        <v>7640</v>
      </c>
    </row>
    <row r="5078" spans="1:1" x14ac:dyDescent="0.25">
      <c r="A5078" s="19" t="s">
        <v>7641</v>
      </c>
    </row>
    <row r="5079" spans="1:1" x14ac:dyDescent="0.25">
      <c r="A5079" s="19" t="s">
        <v>7642</v>
      </c>
    </row>
    <row r="5080" spans="1:1" x14ac:dyDescent="0.25">
      <c r="A5080" s="19" t="s">
        <v>7643</v>
      </c>
    </row>
    <row r="5081" spans="1:1" x14ac:dyDescent="0.25">
      <c r="A5081" s="19" t="s">
        <v>7644</v>
      </c>
    </row>
    <row r="5082" spans="1:1" x14ac:dyDescent="0.25">
      <c r="A5082" s="19" t="s">
        <v>7645</v>
      </c>
    </row>
    <row r="5083" spans="1:1" x14ac:dyDescent="0.25">
      <c r="A5083" s="19" t="s">
        <v>7646</v>
      </c>
    </row>
    <row r="5084" spans="1:1" x14ac:dyDescent="0.25">
      <c r="A5084" s="19" t="s">
        <v>7647</v>
      </c>
    </row>
    <row r="5085" spans="1:1" x14ac:dyDescent="0.25">
      <c r="A5085" s="19" t="s">
        <v>7648</v>
      </c>
    </row>
    <row r="5086" spans="1:1" x14ac:dyDescent="0.25">
      <c r="A5086" s="19" t="s">
        <v>7649</v>
      </c>
    </row>
    <row r="5087" spans="1:1" x14ac:dyDescent="0.25">
      <c r="A5087" s="19" t="s">
        <v>7650</v>
      </c>
    </row>
    <row r="5088" spans="1:1" x14ac:dyDescent="0.25">
      <c r="A5088" s="19" t="s">
        <v>7651</v>
      </c>
    </row>
    <row r="5089" spans="1:1" x14ac:dyDescent="0.25">
      <c r="A5089" s="19" t="s">
        <v>7652</v>
      </c>
    </row>
    <row r="5090" spans="1:1" x14ac:dyDescent="0.25">
      <c r="A5090" s="19" t="s">
        <v>7653</v>
      </c>
    </row>
    <row r="5091" spans="1:1" x14ac:dyDescent="0.25">
      <c r="A5091" s="19" t="s">
        <v>7654</v>
      </c>
    </row>
    <row r="5092" spans="1:1" x14ac:dyDescent="0.25">
      <c r="A5092" s="19" t="s">
        <v>7655</v>
      </c>
    </row>
    <row r="5093" spans="1:1" x14ac:dyDescent="0.25">
      <c r="A5093" s="19" t="s">
        <v>7656</v>
      </c>
    </row>
    <row r="5094" spans="1:1" x14ac:dyDescent="0.25">
      <c r="A5094" s="19" t="s">
        <v>7657</v>
      </c>
    </row>
    <row r="5095" spans="1:1" x14ac:dyDescent="0.25">
      <c r="A5095" s="19" t="s">
        <v>7658</v>
      </c>
    </row>
    <row r="5096" spans="1:1" x14ac:dyDescent="0.25">
      <c r="A5096" s="19" t="s">
        <v>7659</v>
      </c>
    </row>
    <row r="5097" spans="1:1" x14ac:dyDescent="0.25">
      <c r="A5097" s="19" t="s">
        <v>7660</v>
      </c>
    </row>
    <row r="5098" spans="1:1" x14ac:dyDescent="0.25">
      <c r="A5098" s="19" t="s">
        <v>7661</v>
      </c>
    </row>
    <row r="5099" spans="1:1" x14ac:dyDescent="0.25">
      <c r="A5099" s="19" t="s">
        <v>7662</v>
      </c>
    </row>
    <row r="5100" spans="1:1" x14ac:dyDescent="0.25">
      <c r="A5100" s="19" t="s">
        <v>7663</v>
      </c>
    </row>
    <row r="5101" spans="1:1" x14ac:dyDescent="0.25">
      <c r="A5101" s="19" t="s">
        <v>7664</v>
      </c>
    </row>
    <row r="5102" spans="1:1" x14ac:dyDescent="0.25">
      <c r="A5102" s="19" t="s">
        <v>7665</v>
      </c>
    </row>
    <row r="5103" spans="1:1" x14ac:dyDescent="0.25">
      <c r="A5103" s="19" t="s">
        <v>7666</v>
      </c>
    </row>
    <row r="5104" spans="1:1" x14ac:dyDescent="0.25">
      <c r="A5104" s="19" t="s">
        <v>7667</v>
      </c>
    </row>
    <row r="5105" spans="1:1" x14ac:dyDescent="0.25">
      <c r="A5105" s="19" t="s">
        <v>7668</v>
      </c>
    </row>
    <row r="5106" spans="1:1" x14ac:dyDescent="0.25">
      <c r="A5106" s="19" t="s">
        <v>7669</v>
      </c>
    </row>
    <row r="5107" spans="1:1" x14ac:dyDescent="0.25">
      <c r="A5107" s="19" t="s">
        <v>7670</v>
      </c>
    </row>
    <row r="5108" spans="1:1" x14ac:dyDescent="0.25">
      <c r="A5108" s="19" t="s">
        <v>7671</v>
      </c>
    </row>
    <row r="5109" spans="1:1" x14ac:dyDescent="0.25">
      <c r="A5109" s="19" t="s">
        <v>7672</v>
      </c>
    </row>
    <row r="5110" spans="1:1" x14ac:dyDescent="0.25">
      <c r="A5110" s="19" t="s">
        <v>7673</v>
      </c>
    </row>
    <row r="5111" spans="1:1" x14ac:dyDescent="0.25">
      <c r="A5111" s="19" t="s">
        <v>7674</v>
      </c>
    </row>
    <row r="5112" spans="1:1" x14ac:dyDescent="0.25">
      <c r="A5112" s="19" t="s">
        <v>7675</v>
      </c>
    </row>
    <row r="5113" spans="1:1" x14ac:dyDescent="0.25">
      <c r="A5113" s="19" t="s">
        <v>7676</v>
      </c>
    </row>
    <row r="5114" spans="1:1" x14ac:dyDescent="0.25">
      <c r="A5114" s="19" t="s">
        <v>7677</v>
      </c>
    </row>
    <row r="5115" spans="1:1" x14ac:dyDescent="0.25">
      <c r="A5115" s="19" t="s">
        <v>7678</v>
      </c>
    </row>
    <row r="5116" spans="1:1" x14ac:dyDescent="0.25">
      <c r="A5116" s="19" t="s">
        <v>7679</v>
      </c>
    </row>
    <row r="5117" spans="1:1" x14ac:dyDescent="0.25">
      <c r="A5117" s="19" t="s">
        <v>7680</v>
      </c>
    </row>
    <row r="5118" spans="1:1" x14ac:dyDescent="0.25">
      <c r="A5118" s="19" t="s">
        <v>7681</v>
      </c>
    </row>
    <row r="5119" spans="1:1" x14ac:dyDescent="0.25">
      <c r="A5119" s="19" t="s">
        <v>7682</v>
      </c>
    </row>
    <row r="5120" spans="1:1" x14ac:dyDescent="0.25">
      <c r="A5120" s="19" t="s">
        <v>7683</v>
      </c>
    </row>
    <row r="5121" spans="1:1" x14ac:dyDescent="0.25">
      <c r="A5121" s="19" t="s">
        <v>7684</v>
      </c>
    </row>
    <row r="5122" spans="1:1" x14ac:dyDescent="0.25">
      <c r="A5122" s="19" t="s">
        <v>7685</v>
      </c>
    </row>
    <row r="5123" spans="1:1" x14ac:dyDescent="0.25">
      <c r="A5123" s="19" t="s">
        <v>7686</v>
      </c>
    </row>
    <row r="5124" spans="1:1" x14ac:dyDescent="0.25">
      <c r="A5124" s="19" t="s">
        <v>7687</v>
      </c>
    </row>
    <row r="5125" spans="1:1" x14ac:dyDescent="0.25">
      <c r="A5125" s="19" t="s">
        <v>7688</v>
      </c>
    </row>
    <row r="5126" spans="1:1" x14ac:dyDescent="0.25">
      <c r="A5126" s="19" t="s">
        <v>7689</v>
      </c>
    </row>
    <row r="5127" spans="1:1" x14ac:dyDescent="0.25">
      <c r="A5127" s="19" t="s">
        <v>7690</v>
      </c>
    </row>
    <row r="5128" spans="1:1" x14ac:dyDescent="0.25">
      <c r="A5128" s="19" t="s">
        <v>7691</v>
      </c>
    </row>
    <row r="5129" spans="1:1" x14ac:dyDescent="0.25">
      <c r="A5129" s="19" t="s">
        <v>7692</v>
      </c>
    </row>
    <row r="5130" spans="1:1" x14ac:dyDescent="0.25">
      <c r="A5130" s="19" t="s">
        <v>7693</v>
      </c>
    </row>
    <row r="5131" spans="1:1" x14ac:dyDescent="0.25">
      <c r="A5131" s="19" t="s">
        <v>7694</v>
      </c>
    </row>
    <row r="5132" spans="1:1" x14ac:dyDescent="0.25">
      <c r="A5132" s="19" t="s">
        <v>7695</v>
      </c>
    </row>
    <row r="5133" spans="1:1" x14ac:dyDescent="0.25">
      <c r="A5133" s="19" t="s">
        <v>7696</v>
      </c>
    </row>
    <row r="5134" spans="1:1" x14ac:dyDescent="0.25">
      <c r="A5134" s="19" t="s">
        <v>7697</v>
      </c>
    </row>
    <row r="5135" spans="1:1" x14ac:dyDescent="0.25">
      <c r="A5135" s="19" t="s">
        <v>7698</v>
      </c>
    </row>
    <row r="5136" spans="1:1" x14ac:dyDescent="0.25">
      <c r="A5136" s="19" t="s">
        <v>7699</v>
      </c>
    </row>
    <row r="5137" spans="1:1" x14ac:dyDescent="0.25">
      <c r="A5137" s="19" t="s">
        <v>7700</v>
      </c>
    </row>
    <row r="5138" spans="1:1" x14ac:dyDescent="0.25">
      <c r="A5138" s="19" t="s">
        <v>7701</v>
      </c>
    </row>
    <row r="5139" spans="1:1" x14ac:dyDescent="0.25">
      <c r="A5139" s="19" t="s">
        <v>7702</v>
      </c>
    </row>
    <row r="5140" spans="1:1" x14ac:dyDescent="0.25">
      <c r="A5140" s="19" t="s">
        <v>7703</v>
      </c>
    </row>
    <row r="5141" spans="1:1" x14ac:dyDescent="0.25">
      <c r="A5141" s="19" t="s">
        <v>7704</v>
      </c>
    </row>
    <row r="5142" spans="1:1" x14ac:dyDescent="0.25">
      <c r="A5142" s="19" t="s">
        <v>7705</v>
      </c>
    </row>
    <row r="5143" spans="1:1" x14ac:dyDescent="0.25">
      <c r="A5143" s="19" t="s">
        <v>7706</v>
      </c>
    </row>
    <row r="5144" spans="1:1" x14ac:dyDescent="0.25">
      <c r="A5144" s="19" t="s">
        <v>7707</v>
      </c>
    </row>
    <row r="5145" spans="1:1" x14ac:dyDescent="0.25">
      <c r="A5145" s="19" t="s">
        <v>7708</v>
      </c>
    </row>
    <row r="5146" spans="1:1" x14ac:dyDescent="0.25">
      <c r="A5146" s="19" t="s">
        <v>7709</v>
      </c>
    </row>
    <row r="5147" spans="1:1" x14ac:dyDescent="0.25">
      <c r="A5147" s="19" t="s">
        <v>7710</v>
      </c>
    </row>
    <row r="5148" spans="1:1" x14ac:dyDescent="0.25">
      <c r="A5148" s="19" t="s">
        <v>7711</v>
      </c>
    </row>
    <row r="5149" spans="1:1" x14ac:dyDescent="0.25">
      <c r="A5149" s="19" t="s">
        <v>7712</v>
      </c>
    </row>
    <row r="5150" spans="1:1" x14ac:dyDescent="0.25">
      <c r="A5150" s="19" t="s">
        <v>7713</v>
      </c>
    </row>
    <row r="5151" spans="1:1" x14ac:dyDescent="0.25">
      <c r="A5151" s="19" t="s">
        <v>7714</v>
      </c>
    </row>
    <row r="5152" spans="1:1" x14ac:dyDescent="0.25">
      <c r="A5152" s="19" t="s">
        <v>7715</v>
      </c>
    </row>
    <row r="5153" spans="1:1" x14ac:dyDescent="0.25">
      <c r="A5153" s="19" t="s">
        <v>7716</v>
      </c>
    </row>
    <row r="5154" spans="1:1" x14ac:dyDescent="0.25">
      <c r="A5154" s="19" t="s">
        <v>7717</v>
      </c>
    </row>
    <row r="5155" spans="1:1" x14ac:dyDescent="0.25">
      <c r="A5155" s="19" t="s">
        <v>7718</v>
      </c>
    </row>
    <row r="5156" spans="1:1" x14ac:dyDescent="0.25">
      <c r="A5156" s="19" t="s">
        <v>7719</v>
      </c>
    </row>
    <row r="5157" spans="1:1" x14ac:dyDescent="0.25">
      <c r="A5157" s="19" t="s">
        <v>7720</v>
      </c>
    </row>
    <row r="5158" spans="1:1" x14ac:dyDescent="0.25">
      <c r="A5158" s="19" t="s">
        <v>7721</v>
      </c>
    </row>
    <row r="5159" spans="1:1" x14ac:dyDescent="0.25">
      <c r="A5159" s="19" t="s">
        <v>7722</v>
      </c>
    </row>
    <row r="5160" spans="1:1" x14ac:dyDescent="0.25">
      <c r="A5160" s="19" t="s">
        <v>7723</v>
      </c>
    </row>
    <row r="5161" spans="1:1" x14ac:dyDescent="0.25">
      <c r="A5161" s="19" t="s">
        <v>7724</v>
      </c>
    </row>
    <row r="5162" spans="1:1" x14ac:dyDescent="0.25">
      <c r="A5162" s="19" t="s">
        <v>7725</v>
      </c>
    </row>
    <row r="5163" spans="1:1" x14ac:dyDescent="0.25">
      <c r="A5163" s="19" t="s">
        <v>7726</v>
      </c>
    </row>
    <row r="5164" spans="1:1" x14ac:dyDescent="0.25">
      <c r="A5164" s="19" t="s">
        <v>7727</v>
      </c>
    </row>
    <row r="5165" spans="1:1" x14ac:dyDescent="0.25">
      <c r="A5165" s="19" t="s">
        <v>7728</v>
      </c>
    </row>
    <row r="5166" spans="1:1" x14ac:dyDescent="0.25">
      <c r="A5166" s="19" t="s">
        <v>7729</v>
      </c>
    </row>
    <row r="5167" spans="1:1" x14ac:dyDescent="0.25">
      <c r="A5167" s="19" t="s">
        <v>7730</v>
      </c>
    </row>
    <row r="5168" spans="1:1" x14ac:dyDescent="0.25">
      <c r="A5168" s="19" t="s">
        <v>7731</v>
      </c>
    </row>
    <row r="5169" spans="1:1" x14ac:dyDescent="0.25">
      <c r="A5169" s="19" t="s">
        <v>7732</v>
      </c>
    </row>
    <row r="5170" spans="1:1" x14ac:dyDescent="0.25">
      <c r="A5170" s="19" t="s">
        <v>7733</v>
      </c>
    </row>
    <row r="5171" spans="1:1" x14ac:dyDescent="0.25">
      <c r="A5171" s="19" t="s">
        <v>7734</v>
      </c>
    </row>
    <row r="5172" spans="1:1" x14ac:dyDescent="0.25">
      <c r="A5172" s="19" t="s">
        <v>7735</v>
      </c>
    </row>
    <row r="5173" spans="1:1" x14ac:dyDescent="0.25">
      <c r="A5173" s="19" t="s">
        <v>7736</v>
      </c>
    </row>
    <row r="5174" spans="1:1" x14ac:dyDescent="0.25">
      <c r="A5174" s="19" t="s">
        <v>7737</v>
      </c>
    </row>
    <row r="5175" spans="1:1" x14ac:dyDescent="0.25">
      <c r="A5175" s="19" t="s">
        <v>7738</v>
      </c>
    </row>
    <row r="5176" spans="1:1" x14ac:dyDescent="0.25">
      <c r="A5176" s="19" t="s">
        <v>7739</v>
      </c>
    </row>
    <row r="5177" spans="1:1" x14ac:dyDescent="0.25">
      <c r="A5177" s="19" t="s">
        <v>7740</v>
      </c>
    </row>
    <row r="5178" spans="1:1" x14ac:dyDescent="0.25">
      <c r="A5178" s="19" t="s">
        <v>7741</v>
      </c>
    </row>
    <row r="5179" spans="1:1" x14ac:dyDescent="0.25">
      <c r="A5179" s="19" t="s">
        <v>7742</v>
      </c>
    </row>
    <row r="5180" spans="1:1" x14ac:dyDescent="0.25">
      <c r="A5180" s="19" t="s">
        <v>7743</v>
      </c>
    </row>
    <row r="5181" spans="1:1" x14ac:dyDescent="0.25">
      <c r="A5181" s="19" t="s">
        <v>7744</v>
      </c>
    </row>
    <row r="5182" spans="1:1" x14ac:dyDescent="0.25">
      <c r="A5182" s="19" t="s">
        <v>7745</v>
      </c>
    </row>
    <row r="5183" spans="1:1" x14ac:dyDescent="0.25">
      <c r="A5183" s="19" t="s">
        <v>7746</v>
      </c>
    </row>
    <row r="5184" spans="1:1" x14ac:dyDescent="0.25">
      <c r="A5184" s="19" t="s">
        <v>7747</v>
      </c>
    </row>
    <row r="5185" spans="1:1" x14ac:dyDescent="0.25">
      <c r="A5185" s="19" t="s">
        <v>7748</v>
      </c>
    </row>
    <row r="5186" spans="1:1" x14ac:dyDescent="0.25">
      <c r="A5186" s="19" t="s">
        <v>7749</v>
      </c>
    </row>
    <row r="5187" spans="1:1" x14ac:dyDescent="0.25">
      <c r="A5187" s="19" t="s">
        <v>7750</v>
      </c>
    </row>
    <row r="5188" spans="1:1" x14ac:dyDescent="0.25">
      <c r="A5188" s="19" t="s">
        <v>7751</v>
      </c>
    </row>
    <row r="5189" spans="1:1" x14ac:dyDescent="0.25">
      <c r="A5189" s="19" t="s">
        <v>7752</v>
      </c>
    </row>
    <row r="5190" spans="1:1" x14ac:dyDescent="0.25">
      <c r="A5190" s="19" t="s">
        <v>7753</v>
      </c>
    </row>
    <row r="5191" spans="1:1" x14ac:dyDescent="0.25">
      <c r="A5191" s="19" t="s">
        <v>7754</v>
      </c>
    </row>
    <row r="5192" spans="1:1" x14ac:dyDescent="0.25">
      <c r="A5192" s="19" t="s">
        <v>7755</v>
      </c>
    </row>
    <row r="5193" spans="1:1" x14ac:dyDescent="0.25">
      <c r="A5193" s="19" t="s">
        <v>7756</v>
      </c>
    </row>
    <row r="5194" spans="1:1" x14ac:dyDescent="0.25">
      <c r="A5194" s="19" t="s">
        <v>7757</v>
      </c>
    </row>
    <row r="5195" spans="1:1" x14ac:dyDescent="0.25">
      <c r="A5195" s="19" t="s">
        <v>7758</v>
      </c>
    </row>
    <row r="5196" spans="1:1" x14ac:dyDescent="0.25">
      <c r="A5196" s="19" t="s">
        <v>7759</v>
      </c>
    </row>
    <row r="5197" spans="1:1" x14ac:dyDescent="0.25">
      <c r="A5197" s="19" t="s">
        <v>7760</v>
      </c>
    </row>
    <row r="5198" spans="1:1" x14ac:dyDescent="0.25">
      <c r="A5198" s="19" t="s">
        <v>7761</v>
      </c>
    </row>
    <row r="5199" spans="1:1" x14ac:dyDescent="0.25">
      <c r="A5199" s="19" t="s">
        <v>7762</v>
      </c>
    </row>
    <row r="5200" spans="1:1" x14ac:dyDescent="0.25">
      <c r="A5200" s="19" t="s">
        <v>7763</v>
      </c>
    </row>
    <row r="5201" spans="1:1" x14ac:dyDescent="0.25">
      <c r="A5201" s="19" t="s">
        <v>7764</v>
      </c>
    </row>
    <row r="5202" spans="1:1" x14ac:dyDescent="0.25">
      <c r="A5202" s="19" t="s">
        <v>7765</v>
      </c>
    </row>
    <row r="5203" spans="1:1" x14ac:dyDescent="0.25">
      <c r="A5203" s="19" t="s">
        <v>7766</v>
      </c>
    </row>
    <row r="5204" spans="1:1" x14ac:dyDescent="0.25">
      <c r="A5204" s="19" t="s">
        <v>7767</v>
      </c>
    </row>
    <row r="5205" spans="1:1" x14ac:dyDescent="0.25">
      <c r="A5205" s="19" t="s">
        <v>7768</v>
      </c>
    </row>
    <row r="5206" spans="1:1" x14ac:dyDescent="0.25">
      <c r="A5206" s="19" t="s">
        <v>7768</v>
      </c>
    </row>
    <row r="5207" spans="1:1" x14ac:dyDescent="0.25">
      <c r="A5207" s="19" t="s">
        <v>7769</v>
      </c>
    </row>
    <row r="5208" spans="1:1" x14ac:dyDescent="0.25">
      <c r="A5208" s="19" t="s">
        <v>7770</v>
      </c>
    </row>
    <row r="5209" spans="1:1" x14ac:dyDescent="0.25">
      <c r="A5209" s="19" t="s">
        <v>7771</v>
      </c>
    </row>
    <row r="5210" spans="1:1" x14ac:dyDescent="0.25">
      <c r="A5210" s="19" t="s">
        <v>7772</v>
      </c>
    </row>
    <row r="5211" spans="1:1" x14ac:dyDescent="0.25">
      <c r="A5211" s="19" t="s">
        <v>7773</v>
      </c>
    </row>
    <row r="5212" spans="1:1" x14ac:dyDescent="0.25">
      <c r="A5212" s="19" t="s">
        <v>7774</v>
      </c>
    </row>
    <row r="5213" spans="1:1" x14ac:dyDescent="0.25">
      <c r="A5213" s="19" t="s">
        <v>7775</v>
      </c>
    </row>
    <row r="5214" spans="1:1" x14ac:dyDescent="0.25">
      <c r="A5214" s="19" t="s">
        <v>7776</v>
      </c>
    </row>
    <row r="5215" spans="1:1" x14ac:dyDescent="0.25">
      <c r="A5215" s="19" t="s">
        <v>7777</v>
      </c>
    </row>
    <row r="5216" spans="1:1" x14ac:dyDescent="0.25">
      <c r="A5216" s="19" t="s">
        <v>7778</v>
      </c>
    </row>
    <row r="5217" spans="1:1" x14ac:dyDescent="0.25">
      <c r="A5217" s="19" t="s">
        <v>7779</v>
      </c>
    </row>
    <row r="5218" spans="1:1" x14ac:dyDescent="0.25">
      <c r="A5218" s="19" t="s">
        <v>7780</v>
      </c>
    </row>
    <row r="5219" spans="1:1" x14ac:dyDescent="0.25">
      <c r="A5219" s="19" t="s">
        <v>7781</v>
      </c>
    </row>
    <row r="5220" spans="1:1" x14ac:dyDescent="0.25">
      <c r="A5220" s="19" t="s">
        <v>7782</v>
      </c>
    </row>
    <row r="5221" spans="1:1" x14ac:dyDescent="0.25">
      <c r="A5221" s="19" t="s">
        <v>7783</v>
      </c>
    </row>
    <row r="5222" spans="1:1" x14ac:dyDescent="0.25">
      <c r="A5222" s="19" t="s">
        <v>7784</v>
      </c>
    </row>
    <row r="5223" spans="1:1" x14ac:dyDescent="0.25">
      <c r="A5223" s="19" t="s">
        <v>7785</v>
      </c>
    </row>
    <row r="5224" spans="1:1" x14ac:dyDescent="0.25">
      <c r="A5224" s="19" t="s">
        <v>7786</v>
      </c>
    </row>
    <row r="5225" spans="1:1" x14ac:dyDescent="0.25">
      <c r="A5225" s="19" t="s">
        <v>7787</v>
      </c>
    </row>
    <row r="5226" spans="1:1" x14ac:dyDescent="0.25">
      <c r="A5226" s="19" t="s">
        <v>7788</v>
      </c>
    </row>
    <row r="5227" spans="1:1" x14ac:dyDescent="0.25">
      <c r="A5227" s="19" t="s">
        <v>7789</v>
      </c>
    </row>
    <row r="5228" spans="1:1" x14ac:dyDescent="0.25">
      <c r="A5228" s="19" t="s">
        <v>7790</v>
      </c>
    </row>
    <row r="5229" spans="1:1" x14ac:dyDescent="0.25">
      <c r="A5229" s="19" t="s">
        <v>7791</v>
      </c>
    </row>
    <row r="5230" spans="1:1" x14ac:dyDescent="0.25">
      <c r="A5230" s="19" t="s">
        <v>7792</v>
      </c>
    </row>
    <row r="5231" spans="1:1" x14ac:dyDescent="0.25">
      <c r="A5231" s="19" t="s">
        <v>7793</v>
      </c>
    </row>
    <row r="5232" spans="1:1" x14ac:dyDescent="0.25">
      <c r="A5232" s="19" t="s">
        <v>7794</v>
      </c>
    </row>
    <row r="5233" spans="1:1" x14ac:dyDescent="0.25">
      <c r="A5233" s="19" t="s">
        <v>7795</v>
      </c>
    </row>
    <row r="5234" spans="1:1" x14ac:dyDescent="0.25">
      <c r="A5234" s="19" t="s">
        <v>7796</v>
      </c>
    </row>
    <row r="5235" spans="1:1" x14ac:dyDescent="0.25">
      <c r="A5235" s="19" t="s">
        <v>7797</v>
      </c>
    </row>
    <row r="5236" spans="1:1" x14ac:dyDescent="0.25">
      <c r="A5236" s="19" t="s">
        <v>7798</v>
      </c>
    </row>
    <row r="5237" spans="1:1" x14ac:dyDescent="0.25">
      <c r="A5237" s="19" t="s">
        <v>7799</v>
      </c>
    </row>
    <row r="5238" spans="1:1" x14ac:dyDescent="0.25">
      <c r="A5238" s="19" t="s">
        <v>7800</v>
      </c>
    </row>
    <row r="5239" spans="1:1" x14ac:dyDescent="0.25">
      <c r="A5239" s="19" t="s">
        <v>7801</v>
      </c>
    </row>
    <row r="5240" spans="1:1" x14ac:dyDescent="0.25">
      <c r="A5240" s="19" t="s">
        <v>7802</v>
      </c>
    </row>
    <row r="5241" spans="1:1" x14ac:dyDescent="0.25">
      <c r="A5241" s="19" t="s">
        <v>7803</v>
      </c>
    </row>
    <row r="5242" spans="1:1" x14ac:dyDescent="0.25">
      <c r="A5242" s="19" t="s">
        <v>7804</v>
      </c>
    </row>
    <row r="5243" spans="1:1" x14ac:dyDescent="0.25">
      <c r="A5243" s="19" t="s">
        <v>7805</v>
      </c>
    </row>
    <row r="5244" spans="1:1" x14ac:dyDescent="0.25">
      <c r="A5244" s="19" t="s">
        <v>7806</v>
      </c>
    </row>
    <row r="5245" spans="1:1" x14ac:dyDescent="0.25">
      <c r="A5245" s="19" t="s">
        <v>7807</v>
      </c>
    </row>
    <row r="5246" spans="1:1" x14ac:dyDescent="0.25">
      <c r="A5246" s="19" t="s">
        <v>7808</v>
      </c>
    </row>
    <row r="5247" spans="1:1" x14ac:dyDescent="0.25">
      <c r="A5247" s="19" t="s">
        <v>7809</v>
      </c>
    </row>
    <row r="5248" spans="1:1" x14ac:dyDescent="0.25">
      <c r="A5248" s="19" t="s">
        <v>7810</v>
      </c>
    </row>
    <row r="5249" spans="1:1" x14ac:dyDescent="0.25">
      <c r="A5249" s="19" t="s">
        <v>7811</v>
      </c>
    </row>
    <row r="5250" spans="1:1" x14ac:dyDescent="0.25">
      <c r="A5250" s="19" t="s">
        <v>7812</v>
      </c>
    </row>
    <row r="5251" spans="1:1" x14ac:dyDescent="0.25">
      <c r="A5251" s="19" t="s">
        <v>7813</v>
      </c>
    </row>
    <row r="5252" spans="1:1" x14ac:dyDescent="0.25">
      <c r="A5252" s="19" t="s">
        <v>7814</v>
      </c>
    </row>
    <row r="5253" spans="1:1" x14ac:dyDescent="0.25">
      <c r="A5253" s="19" t="s">
        <v>7815</v>
      </c>
    </row>
    <row r="5254" spans="1:1" x14ac:dyDescent="0.25">
      <c r="A5254" s="19" t="s">
        <v>7816</v>
      </c>
    </row>
    <row r="5255" spans="1:1" x14ac:dyDescent="0.25">
      <c r="A5255" s="19" t="s">
        <v>7817</v>
      </c>
    </row>
    <row r="5256" spans="1:1" x14ac:dyDescent="0.25">
      <c r="A5256" s="19" t="s">
        <v>7818</v>
      </c>
    </row>
    <row r="5257" spans="1:1" x14ac:dyDescent="0.25">
      <c r="A5257" s="19" t="s">
        <v>7819</v>
      </c>
    </row>
    <row r="5258" spans="1:1" x14ac:dyDescent="0.25">
      <c r="A5258" s="19" t="s">
        <v>7820</v>
      </c>
    </row>
    <row r="5259" spans="1:1" x14ac:dyDescent="0.25">
      <c r="A5259" s="19" t="s">
        <v>7821</v>
      </c>
    </row>
    <row r="5260" spans="1:1" x14ac:dyDescent="0.25">
      <c r="A5260" s="19" t="s">
        <v>7822</v>
      </c>
    </row>
    <row r="5261" spans="1:1" x14ac:dyDescent="0.25">
      <c r="A5261" s="19" t="s">
        <v>7823</v>
      </c>
    </row>
    <row r="5262" spans="1:1" x14ac:dyDescent="0.25">
      <c r="A5262" s="19" t="s">
        <v>7823</v>
      </c>
    </row>
    <row r="5263" spans="1:1" x14ac:dyDescent="0.25">
      <c r="A5263" s="19" t="s">
        <v>7824</v>
      </c>
    </row>
    <row r="5264" spans="1:1" x14ac:dyDescent="0.25">
      <c r="A5264" s="19" t="s">
        <v>7825</v>
      </c>
    </row>
    <row r="5265" spans="1:1" x14ac:dyDescent="0.25">
      <c r="A5265" s="19" t="s">
        <v>7826</v>
      </c>
    </row>
    <row r="5266" spans="1:1" x14ac:dyDescent="0.25">
      <c r="A5266" s="19" t="s">
        <v>7827</v>
      </c>
    </row>
    <row r="5267" spans="1:1" x14ac:dyDescent="0.25">
      <c r="A5267" s="19" t="s">
        <v>7828</v>
      </c>
    </row>
    <row r="5268" spans="1:1" x14ac:dyDescent="0.25">
      <c r="A5268" s="19" t="s">
        <v>7829</v>
      </c>
    </row>
    <row r="5269" spans="1:1" x14ac:dyDescent="0.25">
      <c r="A5269" s="19" t="s">
        <v>7830</v>
      </c>
    </row>
    <row r="5270" spans="1:1" x14ac:dyDescent="0.25">
      <c r="A5270" s="19" t="s">
        <v>7831</v>
      </c>
    </row>
    <row r="5271" spans="1:1" x14ac:dyDescent="0.25">
      <c r="A5271" s="19" t="s">
        <v>7832</v>
      </c>
    </row>
    <row r="5272" spans="1:1" x14ac:dyDescent="0.25">
      <c r="A5272" s="19" t="s">
        <v>7833</v>
      </c>
    </row>
    <row r="5273" spans="1:1" x14ac:dyDescent="0.25">
      <c r="A5273" s="19" t="s">
        <v>7834</v>
      </c>
    </row>
    <row r="5274" spans="1:1" x14ac:dyDescent="0.25">
      <c r="A5274" s="19" t="s">
        <v>7835</v>
      </c>
    </row>
    <row r="5275" spans="1:1" x14ac:dyDescent="0.25">
      <c r="A5275" s="19" t="s">
        <v>7836</v>
      </c>
    </row>
    <row r="5276" spans="1:1" x14ac:dyDescent="0.25">
      <c r="A5276" s="19" t="s">
        <v>7837</v>
      </c>
    </row>
    <row r="5277" spans="1:1" x14ac:dyDescent="0.25">
      <c r="A5277" s="19" t="s">
        <v>7838</v>
      </c>
    </row>
    <row r="5278" spans="1:1" x14ac:dyDescent="0.25">
      <c r="A5278" s="19" t="s">
        <v>7839</v>
      </c>
    </row>
    <row r="5279" spans="1:1" x14ac:dyDescent="0.25">
      <c r="A5279" s="19" t="s">
        <v>7840</v>
      </c>
    </row>
    <row r="5280" spans="1:1" x14ac:dyDescent="0.25">
      <c r="A5280" s="19" t="s">
        <v>7841</v>
      </c>
    </row>
    <row r="5281" spans="1:1" x14ac:dyDescent="0.25">
      <c r="A5281" s="19" t="s">
        <v>7842</v>
      </c>
    </row>
    <row r="5282" spans="1:1" x14ac:dyDescent="0.25">
      <c r="A5282" s="19" t="s">
        <v>7843</v>
      </c>
    </row>
    <row r="5283" spans="1:1" x14ac:dyDescent="0.25">
      <c r="A5283" s="19" t="s">
        <v>7844</v>
      </c>
    </row>
    <row r="5284" spans="1:1" x14ac:dyDescent="0.25">
      <c r="A5284" s="19" t="s">
        <v>7845</v>
      </c>
    </row>
    <row r="5285" spans="1:1" x14ac:dyDescent="0.25">
      <c r="A5285" s="19" t="s">
        <v>7846</v>
      </c>
    </row>
    <row r="5286" spans="1:1" x14ac:dyDescent="0.25">
      <c r="A5286" s="19" t="s">
        <v>7847</v>
      </c>
    </row>
    <row r="5287" spans="1:1" x14ac:dyDescent="0.25">
      <c r="A5287" s="19" t="s">
        <v>7848</v>
      </c>
    </row>
    <row r="5288" spans="1:1" x14ac:dyDescent="0.25">
      <c r="A5288" s="19" t="s">
        <v>7849</v>
      </c>
    </row>
    <row r="5289" spans="1:1" x14ac:dyDescent="0.25">
      <c r="A5289" s="19" t="s">
        <v>7850</v>
      </c>
    </row>
    <row r="5290" spans="1:1" x14ac:dyDescent="0.25">
      <c r="A5290" s="19" t="s">
        <v>7851</v>
      </c>
    </row>
    <row r="5291" spans="1:1" x14ac:dyDescent="0.25">
      <c r="A5291" s="19" t="s">
        <v>7852</v>
      </c>
    </row>
    <row r="5292" spans="1:1" x14ac:dyDescent="0.25">
      <c r="A5292" s="19" t="s">
        <v>7853</v>
      </c>
    </row>
    <row r="5293" spans="1:1" x14ac:dyDescent="0.25">
      <c r="A5293" s="19" t="s">
        <v>7854</v>
      </c>
    </row>
    <row r="5294" spans="1:1" x14ac:dyDescent="0.25">
      <c r="A5294" s="19" t="s">
        <v>7855</v>
      </c>
    </row>
    <row r="5295" spans="1:1" x14ac:dyDescent="0.25">
      <c r="A5295" s="19" t="s">
        <v>7856</v>
      </c>
    </row>
    <row r="5296" spans="1:1" x14ac:dyDescent="0.25">
      <c r="A5296" s="19" t="s">
        <v>7857</v>
      </c>
    </row>
    <row r="5297" spans="1:1" x14ac:dyDescent="0.25">
      <c r="A5297" s="19" t="s">
        <v>7858</v>
      </c>
    </row>
    <row r="5298" spans="1:1" x14ac:dyDescent="0.25">
      <c r="A5298" s="19" t="s">
        <v>7859</v>
      </c>
    </row>
    <row r="5299" spans="1:1" x14ac:dyDescent="0.25">
      <c r="A5299" s="19" t="s">
        <v>7860</v>
      </c>
    </row>
    <row r="5300" spans="1:1" x14ac:dyDescent="0.25">
      <c r="A5300" s="19" t="s">
        <v>7861</v>
      </c>
    </row>
    <row r="5301" spans="1:1" x14ac:dyDescent="0.25">
      <c r="A5301" s="19" t="s">
        <v>7862</v>
      </c>
    </row>
    <row r="5302" spans="1:1" x14ac:dyDescent="0.25">
      <c r="A5302" s="19" t="s">
        <v>7863</v>
      </c>
    </row>
    <row r="5303" spans="1:1" x14ac:dyDescent="0.25">
      <c r="A5303" s="19" t="s">
        <v>7864</v>
      </c>
    </row>
    <row r="5304" spans="1:1" x14ac:dyDescent="0.25">
      <c r="A5304" s="19" t="s">
        <v>7865</v>
      </c>
    </row>
    <row r="5305" spans="1:1" x14ac:dyDescent="0.25">
      <c r="A5305" s="19" t="s">
        <v>7866</v>
      </c>
    </row>
    <row r="5306" spans="1:1" x14ac:dyDescent="0.25">
      <c r="A5306" s="19" t="s">
        <v>7867</v>
      </c>
    </row>
    <row r="5307" spans="1:1" x14ac:dyDescent="0.25">
      <c r="A5307" s="19" t="s">
        <v>7868</v>
      </c>
    </row>
    <row r="5308" spans="1:1" x14ac:dyDescent="0.25">
      <c r="A5308" s="19" t="s">
        <v>7869</v>
      </c>
    </row>
    <row r="5309" spans="1:1" x14ac:dyDescent="0.25">
      <c r="A5309" s="19" t="s">
        <v>7870</v>
      </c>
    </row>
    <row r="5310" spans="1:1" x14ac:dyDescent="0.25">
      <c r="A5310" s="19" t="s">
        <v>7871</v>
      </c>
    </row>
    <row r="5311" spans="1:1" x14ac:dyDescent="0.25">
      <c r="A5311" s="19" t="s">
        <v>7872</v>
      </c>
    </row>
    <row r="5312" spans="1:1" x14ac:dyDescent="0.25">
      <c r="A5312" s="19" t="s">
        <v>7873</v>
      </c>
    </row>
    <row r="5313" spans="1:1" x14ac:dyDescent="0.25">
      <c r="A5313" s="19" t="s">
        <v>7874</v>
      </c>
    </row>
    <row r="5314" spans="1:1" x14ac:dyDescent="0.25">
      <c r="A5314" s="19" t="s">
        <v>7875</v>
      </c>
    </row>
    <row r="5315" spans="1:1" x14ac:dyDescent="0.25">
      <c r="A5315" s="19" t="s">
        <v>7876</v>
      </c>
    </row>
    <row r="5316" spans="1:1" x14ac:dyDescent="0.25">
      <c r="A5316" s="19" t="s">
        <v>7877</v>
      </c>
    </row>
    <row r="5317" spans="1:1" x14ac:dyDescent="0.25">
      <c r="A5317" s="19" t="s">
        <v>7878</v>
      </c>
    </row>
    <row r="5318" spans="1:1" x14ac:dyDescent="0.25">
      <c r="A5318" s="19" t="s">
        <v>7879</v>
      </c>
    </row>
    <row r="5319" spans="1:1" x14ac:dyDescent="0.25">
      <c r="A5319" s="19" t="s">
        <v>7880</v>
      </c>
    </row>
    <row r="5320" spans="1:1" x14ac:dyDescent="0.25">
      <c r="A5320" s="19" t="s">
        <v>7881</v>
      </c>
    </row>
    <row r="5321" spans="1:1" x14ac:dyDescent="0.25">
      <c r="A5321" s="19" t="s">
        <v>7882</v>
      </c>
    </row>
    <row r="5322" spans="1:1" x14ac:dyDescent="0.25">
      <c r="A5322" s="19" t="s">
        <v>7883</v>
      </c>
    </row>
    <row r="5323" spans="1:1" x14ac:dyDescent="0.25">
      <c r="A5323" s="19" t="s">
        <v>7884</v>
      </c>
    </row>
    <row r="5324" spans="1:1" x14ac:dyDescent="0.25">
      <c r="A5324" s="19" t="s">
        <v>7885</v>
      </c>
    </row>
    <row r="5325" spans="1:1" x14ac:dyDescent="0.25">
      <c r="A5325" s="19" t="s">
        <v>7886</v>
      </c>
    </row>
    <row r="5326" spans="1:1" x14ac:dyDescent="0.25">
      <c r="A5326" s="19" t="s">
        <v>7887</v>
      </c>
    </row>
    <row r="5327" spans="1:1" x14ac:dyDescent="0.25">
      <c r="A5327" s="19" t="s">
        <v>7888</v>
      </c>
    </row>
    <row r="5328" spans="1:1" x14ac:dyDescent="0.25">
      <c r="A5328" s="19" t="s">
        <v>7889</v>
      </c>
    </row>
    <row r="5329" spans="1:1" x14ac:dyDescent="0.25">
      <c r="A5329" s="19" t="s">
        <v>7890</v>
      </c>
    </row>
    <row r="5330" spans="1:1" x14ac:dyDescent="0.25">
      <c r="A5330" s="19" t="s">
        <v>7891</v>
      </c>
    </row>
    <row r="5331" spans="1:1" x14ac:dyDescent="0.25">
      <c r="A5331" s="19" t="s">
        <v>7892</v>
      </c>
    </row>
    <row r="5332" spans="1:1" x14ac:dyDescent="0.25">
      <c r="A5332" s="19" t="s">
        <v>7893</v>
      </c>
    </row>
    <row r="5333" spans="1:1" x14ac:dyDescent="0.25">
      <c r="A5333" s="19" t="s">
        <v>7894</v>
      </c>
    </row>
    <row r="5334" spans="1:1" x14ac:dyDescent="0.25">
      <c r="A5334" s="19" t="s">
        <v>7895</v>
      </c>
    </row>
    <row r="5335" spans="1:1" x14ac:dyDescent="0.25">
      <c r="A5335" s="19" t="s">
        <v>7896</v>
      </c>
    </row>
    <row r="5336" spans="1:1" x14ac:dyDescent="0.25">
      <c r="A5336" s="19" t="s">
        <v>7897</v>
      </c>
    </row>
    <row r="5337" spans="1:1" x14ac:dyDescent="0.25">
      <c r="A5337" s="19" t="s">
        <v>7898</v>
      </c>
    </row>
    <row r="5338" spans="1:1" x14ac:dyDescent="0.25">
      <c r="A5338" s="19" t="s">
        <v>7899</v>
      </c>
    </row>
    <row r="5339" spans="1:1" x14ac:dyDescent="0.25">
      <c r="A5339" s="19" t="s">
        <v>7900</v>
      </c>
    </row>
    <row r="5340" spans="1:1" x14ac:dyDescent="0.25">
      <c r="A5340" s="19" t="s">
        <v>7901</v>
      </c>
    </row>
    <row r="5341" spans="1:1" x14ac:dyDescent="0.25">
      <c r="A5341" s="19" t="s">
        <v>7902</v>
      </c>
    </row>
    <row r="5342" spans="1:1" x14ac:dyDescent="0.25">
      <c r="A5342" s="19" t="s">
        <v>7903</v>
      </c>
    </row>
    <row r="5343" spans="1:1" x14ac:dyDescent="0.25">
      <c r="A5343" s="19" t="s">
        <v>7904</v>
      </c>
    </row>
    <row r="5344" spans="1:1" x14ac:dyDescent="0.25">
      <c r="A5344" s="19" t="s">
        <v>7905</v>
      </c>
    </row>
    <row r="5345" spans="1:1" x14ac:dyDescent="0.25">
      <c r="A5345" s="19" t="s">
        <v>7906</v>
      </c>
    </row>
    <row r="5346" spans="1:1" x14ac:dyDescent="0.25">
      <c r="A5346" s="19" t="s">
        <v>7907</v>
      </c>
    </row>
    <row r="5347" spans="1:1" x14ac:dyDescent="0.25">
      <c r="A5347" s="19" t="s">
        <v>7908</v>
      </c>
    </row>
    <row r="5348" spans="1:1" x14ac:dyDescent="0.25">
      <c r="A5348" s="19" t="s">
        <v>7909</v>
      </c>
    </row>
    <row r="5349" spans="1:1" x14ac:dyDescent="0.25">
      <c r="A5349" s="19" t="s">
        <v>7910</v>
      </c>
    </row>
    <row r="5350" spans="1:1" x14ac:dyDescent="0.25">
      <c r="A5350" s="19" t="s">
        <v>7911</v>
      </c>
    </row>
    <row r="5351" spans="1:1" x14ac:dyDescent="0.25">
      <c r="A5351" s="19" t="s">
        <v>7912</v>
      </c>
    </row>
    <row r="5352" spans="1:1" x14ac:dyDescent="0.25">
      <c r="A5352" s="19" t="s">
        <v>7913</v>
      </c>
    </row>
    <row r="5353" spans="1:1" x14ac:dyDescent="0.25">
      <c r="A5353" s="19" t="s">
        <v>7914</v>
      </c>
    </row>
    <row r="5354" spans="1:1" x14ac:dyDescent="0.25">
      <c r="A5354" s="19" t="s">
        <v>7915</v>
      </c>
    </row>
    <row r="5355" spans="1:1" x14ac:dyDescent="0.25">
      <c r="A5355" s="19" t="s">
        <v>7916</v>
      </c>
    </row>
    <row r="5356" spans="1:1" x14ac:dyDescent="0.25">
      <c r="A5356" s="19" t="s">
        <v>7917</v>
      </c>
    </row>
    <row r="5357" spans="1:1" x14ac:dyDescent="0.25">
      <c r="A5357" s="19" t="s">
        <v>7918</v>
      </c>
    </row>
    <row r="5358" spans="1:1" x14ac:dyDescent="0.25">
      <c r="A5358" s="19" t="s">
        <v>7919</v>
      </c>
    </row>
    <row r="5359" spans="1:1" x14ac:dyDescent="0.25">
      <c r="A5359" s="19" t="s">
        <v>7920</v>
      </c>
    </row>
    <row r="5360" spans="1:1" x14ac:dyDescent="0.25">
      <c r="A5360" s="19" t="s">
        <v>7921</v>
      </c>
    </row>
    <row r="5361" spans="1:1" x14ac:dyDescent="0.25">
      <c r="A5361" s="19" t="s">
        <v>7922</v>
      </c>
    </row>
    <row r="5362" spans="1:1" x14ac:dyDescent="0.25">
      <c r="A5362" s="19" t="s">
        <v>7923</v>
      </c>
    </row>
    <row r="5363" spans="1:1" x14ac:dyDescent="0.25">
      <c r="A5363" s="19" t="s">
        <v>7924</v>
      </c>
    </row>
    <row r="5364" spans="1:1" x14ac:dyDescent="0.25">
      <c r="A5364" s="19" t="s">
        <v>7925</v>
      </c>
    </row>
    <row r="5365" spans="1:1" x14ac:dyDescent="0.25">
      <c r="A5365" s="19" t="s">
        <v>7926</v>
      </c>
    </row>
    <row r="5366" spans="1:1" x14ac:dyDescent="0.25">
      <c r="A5366" s="19" t="s">
        <v>7927</v>
      </c>
    </row>
    <row r="5367" spans="1:1" x14ac:dyDescent="0.25">
      <c r="A5367" s="19" t="s">
        <v>7928</v>
      </c>
    </row>
    <row r="5368" spans="1:1" x14ac:dyDescent="0.25">
      <c r="A5368" s="19" t="s">
        <v>7929</v>
      </c>
    </row>
    <row r="5369" spans="1:1" x14ac:dyDescent="0.25">
      <c r="A5369" s="19" t="s">
        <v>7930</v>
      </c>
    </row>
    <row r="5370" spans="1:1" x14ac:dyDescent="0.25">
      <c r="A5370" s="19" t="s">
        <v>7931</v>
      </c>
    </row>
    <row r="5371" spans="1:1" x14ac:dyDescent="0.25">
      <c r="A5371" s="19" t="s">
        <v>7932</v>
      </c>
    </row>
    <row r="5372" spans="1:1" x14ac:dyDescent="0.25">
      <c r="A5372" s="19" t="s">
        <v>7933</v>
      </c>
    </row>
    <row r="5373" spans="1:1" x14ac:dyDescent="0.25">
      <c r="A5373" s="19" t="s">
        <v>7934</v>
      </c>
    </row>
    <row r="5374" spans="1:1" x14ac:dyDescent="0.25">
      <c r="A5374" s="19" t="s">
        <v>7935</v>
      </c>
    </row>
    <row r="5375" spans="1:1" x14ac:dyDescent="0.25">
      <c r="A5375" s="19" t="s">
        <v>7936</v>
      </c>
    </row>
    <row r="5376" spans="1:1" x14ac:dyDescent="0.25">
      <c r="A5376" s="19" t="s">
        <v>7937</v>
      </c>
    </row>
    <row r="5377" spans="1:1" x14ac:dyDescent="0.25">
      <c r="A5377" s="19" t="s">
        <v>7938</v>
      </c>
    </row>
    <row r="5378" spans="1:1" x14ac:dyDescent="0.25">
      <c r="A5378" s="19" t="s">
        <v>7939</v>
      </c>
    </row>
    <row r="5379" spans="1:1" x14ac:dyDescent="0.25">
      <c r="A5379" s="19" t="s">
        <v>7940</v>
      </c>
    </row>
    <row r="5380" spans="1:1" x14ac:dyDescent="0.25">
      <c r="A5380" s="19" t="s">
        <v>7941</v>
      </c>
    </row>
    <row r="5381" spans="1:1" x14ac:dyDescent="0.25">
      <c r="A5381" s="19" t="s">
        <v>7942</v>
      </c>
    </row>
    <row r="5382" spans="1:1" x14ac:dyDescent="0.25">
      <c r="A5382" s="19" t="s">
        <v>7943</v>
      </c>
    </row>
    <row r="5383" spans="1:1" x14ac:dyDescent="0.25">
      <c r="A5383" s="19" t="s">
        <v>7944</v>
      </c>
    </row>
    <row r="5384" spans="1:1" x14ac:dyDescent="0.25">
      <c r="A5384" s="19" t="s">
        <v>7945</v>
      </c>
    </row>
    <row r="5385" spans="1:1" x14ac:dyDescent="0.25">
      <c r="A5385" s="19" t="s">
        <v>7946</v>
      </c>
    </row>
    <row r="5386" spans="1:1" x14ac:dyDescent="0.25">
      <c r="A5386" s="19" t="s">
        <v>7946</v>
      </c>
    </row>
    <row r="5387" spans="1:1" x14ac:dyDescent="0.25">
      <c r="A5387" s="19" t="s">
        <v>7947</v>
      </c>
    </row>
    <row r="5388" spans="1:1" x14ac:dyDescent="0.25">
      <c r="A5388" s="19" t="s">
        <v>7948</v>
      </c>
    </row>
    <row r="5389" spans="1:1" x14ac:dyDescent="0.25">
      <c r="A5389" s="19" t="s">
        <v>7949</v>
      </c>
    </row>
    <row r="5390" spans="1:1" x14ac:dyDescent="0.25">
      <c r="A5390" s="19" t="s">
        <v>7950</v>
      </c>
    </row>
    <row r="5391" spans="1:1" x14ac:dyDescent="0.25">
      <c r="A5391" s="19" t="s">
        <v>7951</v>
      </c>
    </row>
    <row r="5392" spans="1:1" x14ac:dyDescent="0.25">
      <c r="A5392" s="19" t="s">
        <v>7952</v>
      </c>
    </row>
    <row r="5393" spans="1:1" x14ac:dyDescent="0.25">
      <c r="A5393" s="19" t="s">
        <v>7953</v>
      </c>
    </row>
    <row r="5394" spans="1:1" x14ac:dyDescent="0.25">
      <c r="A5394" s="19" t="s">
        <v>7954</v>
      </c>
    </row>
    <row r="5395" spans="1:1" x14ac:dyDescent="0.25">
      <c r="A5395" s="19" t="s">
        <v>7955</v>
      </c>
    </row>
    <row r="5396" spans="1:1" x14ac:dyDescent="0.25">
      <c r="A5396" s="19" t="s">
        <v>7956</v>
      </c>
    </row>
    <row r="5397" spans="1:1" x14ac:dyDescent="0.25">
      <c r="A5397" s="19" t="s">
        <v>7957</v>
      </c>
    </row>
    <row r="5398" spans="1:1" x14ac:dyDescent="0.25">
      <c r="A5398" s="19" t="s">
        <v>7958</v>
      </c>
    </row>
    <row r="5399" spans="1:1" x14ac:dyDescent="0.25">
      <c r="A5399" s="19" t="s">
        <v>7959</v>
      </c>
    </row>
    <row r="5400" spans="1:1" x14ac:dyDescent="0.25">
      <c r="A5400" s="19" t="s">
        <v>7960</v>
      </c>
    </row>
    <row r="5401" spans="1:1" x14ac:dyDescent="0.25">
      <c r="A5401" s="19" t="s">
        <v>7961</v>
      </c>
    </row>
    <row r="5402" spans="1:1" x14ac:dyDescent="0.25">
      <c r="A5402" s="19" t="s">
        <v>7962</v>
      </c>
    </row>
    <row r="5403" spans="1:1" x14ac:dyDescent="0.25">
      <c r="A5403" s="19" t="s">
        <v>7963</v>
      </c>
    </row>
    <row r="5404" spans="1:1" x14ac:dyDescent="0.25">
      <c r="A5404" s="19" t="s">
        <v>7964</v>
      </c>
    </row>
    <row r="5405" spans="1:1" x14ac:dyDescent="0.25">
      <c r="A5405" s="19" t="s">
        <v>7965</v>
      </c>
    </row>
    <row r="5406" spans="1:1" x14ac:dyDescent="0.25">
      <c r="A5406" s="19" t="s">
        <v>7966</v>
      </c>
    </row>
    <row r="5407" spans="1:1" x14ac:dyDescent="0.25">
      <c r="A5407" s="19" t="s">
        <v>7967</v>
      </c>
    </row>
    <row r="5408" spans="1:1" x14ac:dyDescent="0.25">
      <c r="A5408" s="19" t="s">
        <v>7968</v>
      </c>
    </row>
    <row r="5409" spans="1:1" x14ac:dyDescent="0.25">
      <c r="A5409" s="19" t="s">
        <v>7969</v>
      </c>
    </row>
    <row r="5410" spans="1:1" x14ac:dyDescent="0.25">
      <c r="A5410" s="19" t="s">
        <v>7970</v>
      </c>
    </row>
    <row r="5411" spans="1:1" x14ac:dyDescent="0.25">
      <c r="A5411" s="19" t="s">
        <v>7971</v>
      </c>
    </row>
    <row r="5412" spans="1:1" x14ac:dyDescent="0.25">
      <c r="A5412" s="19" t="s">
        <v>7972</v>
      </c>
    </row>
    <row r="5413" spans="1:1" x14ac:dyDescent="0.25">
      <c r="A5413" s="19" t="s">
        <v>7973</v>
      </c>
    </row>
    <row r="5414" spans="1:1" x14ac:dyDescent="0.25">
      <c r="A5414" s="19" t="s">
        <v>7974</v>
      </c>
    </row>
    <row r="5415" spans="1:1" x14ac:dyDescent="0.25">
      <c r="A5415" s="19" t="s">
        <v>7975</v>
      </c>
    </row>
    <row r="5416" spans="1:1" x14ac:dyDescent="0.25">
      <c r="A5416" s="19" t="s">
        <v>7976</v>
      </c>
    </row>
    <row r="5417" spans="1:1" x14ac:dyDescent="0.25">
      <c r="A5417" s="19" t="s">
        <v>7977</v>
      </c>
    </row>
    <row r="5418" spans="1:1" x14ac:dyDescent="0.25">
      <c r="A5418" s="19" t="s">
        <v>7978</v>
      </c>
    </row>
    <row r="5419" spans="1:1" x14ac:dyDescent="0.25">
      <c r="A5419" s="19" t="s">
        <v>7979</v>
      </c>
    </row>
    <row r="5420" spans="1:1" x14ac:dyDescent="0.25">
      <c r="A5420" s="19" t="s">
        <v>7980</v>
      </c>
    </row>
    <row r="5421" spans="1:1" x14ac:dyDescent="0.25">
      <c r="A5421" s="19" t="s">
        <v>7981</v>
      </c>
    </row>
    <row r="5422" spans="1:1" x14ac:dyDescent="0.25">
      <c r="A5422" s="19" t="s">
        <v>7982</v>
      </c>
    </row>
    <row r="5423" spans="1:1" x14ac:dyDescent="0.25">
      <c r="A5423" s="19" t="s">
        <v>7983</v>
      </c>
    </row>
    <row r="5424" spans="1:1" x14ac:dyDescent="0.25">
      <c r="A5424" s="19" t="s">
        <v>7984</v>
      </c>
    </row>
    <row r="5425" spans="1:1" x14ac:dyDescent="0.25">
      <c r="A5425" s="19" t="s">
        <v>7985</v>
      </c>
    </row>
    <row r="5426" spans="1:1" x14ac:dyDescent="0.25">
      <c r="A5426" s="19" t="s">
        <v>7986</v>
      </c>
    </row>
    <row r="5427" spans="1:1" x14ac:dyDescent="0.25">
      <c r="A5427" s="19" t="s">
        <v>7987</v>
      </c>
    </row>
    <row r="5428" spans="1:1" x14ac:dyDescent="0.25">
      <c r="A5428" s="19" t="s">
        <v>7988</v>
      </c>
    </row>
    <row r="5429" spans="1:1" x14ac:dyDescent="0.25">
      <c r="A5429" s="19" t="s">
        <v>7989</v>
      </c>
    </row>
    <row r="5430" spans="1:1" x14ac:dyDescent="0.25">
      <c r="A5430" s="19" t="s">
        <v>7990</v>
      </c>
    </row>
    <row r="5431" spans="1:1" x14ac:dyDescent="0.25">
      <c r="A5431" s="19" t="s">
        <v>7991</v>
      </c>
    </row>
    <row r="5432" spans="1:1" x14ac:dyDescent="0.25">
      <c r="A5432" s="19" t="s">
        <v>7992</v>
      </c>
    </row>
    <row r="5433" spans="1:1" x14ac:dyDescent="0.25">
      <c r="A5433" s="19" t="s">
        <v>7993</v>
      </c>
    </row>
    <row r="5434" spans="1:1" x14ac:dyDescent="0.25">
      <c r="A5434" s="19" t="s">
        <v>7994</v>
      </c>
    </row>
    <row r="5435" spans="1:1" x14ac:dyDescent="0.25">
      <c r="A5435" s="19" t="s">
        <v>7995</v>
      </c>
    </row>
    <row r="5436" spans="1:1" x14ac:dyDescent="0.25">
      <c r="A5436" s="19" t="s">
        <v>7996</v>
      </c>
    </row>
    <row r="5437" spans="1:1" x14ac:dyDescent="0.25">
      <c r="A5437" s="19" t="s">
        <v>7997</v>
      </c>
    </row>
    <row r="5438" spans="1:1" x14ac:dyDescent="0.25">
      <c r="A5438" s="19" t="s">
        <v>7998</v>
      </c>
    </row>
    <row r="5439" spans="1:1" x14ac:dyDescent="0.25">
      <c r="A5439" s="19" t="s">
        <v>7999</v>
      </c>
    </row>
    <row r="5440" spans="1:1" x14ac:dyDescent="0.25">
      <c r="A5440" s="19" t="s">
        <v>8000</v>
      </c>
    </row>
    <row r="5441" spans="1:1" x14ac:dyDescent="0.25">
      <c r="A5441" s="19" t="s">
        <v>8001</v>
      </c>
    </row>
    <row r="5442" spans="1:1" x14ac:dyDescent="0.25">
      <c r="A5442" s="19" t="s">
        <v>8002</v>
      </c>
    </row>
    <row r="5443" spans="1:1" x14ac:dyDescent="0.25">
      <c r="A5443" s="19" t="s">
        <v>8003</v>
      </c>
    </row>
    <row r="5444" spans="1:1" x14ac:dyDescent="0.25">
      <c r="A5444" s="19" t="s">
        <v>8004</v>
      </c>
    </row>
    <row r="5445" spans="1:1" x14ac:dyDescent="0.25">
      <c r="A5445" s="19" t="s">
        <v>8005</v>
      </c>
    </row>
    <row r="5446" spans="1:1" x14ac:dyDescent="0.25">
      <c r="A5446" s="19" t="s">
        <v>8006</v>
      </c>
    </row>
    <row r="5447" spans="1:1" x14ac:dyDescent="0.25">
      <c r="A5447" s="19" t="s">
        <v>8007</v>
      </c>
    </row>
    <row r="5448" spans="1:1" x14ac:dyDescent="0.25">
      <c r="A5448" s="19" t="s">
        <v>8008</v>
      </c>
    </row>
    <row r="5449" spans="1:1" x14ac:dyDescent="0.25">
      <c r="A5449" s="19" t="s">
        <v>8009</v>
      </c>
    </row>
    <row r="5450" spans="1:1" x14ac:dyDescent="0.25">
      <c r="A5450" s="19" t="s">
        <v>8010</v>
      </c>
    </row>
    <row r="5451" spans="1:1" x14ac:dyDescent="0.25">
      <c r="A5451" s="19" t="s">
        <v>8011</v>
      </c>
    </row>
    <row r="5452" spans="1:1" x14ac:dyDescent="0.25">
      <c r="A5452" s="19" t="s">
        <v>8012</v>
      </c>
    </row>
    <row r="5453" spans="1:1" x14ac:dyDescent="0.25">
      <c r="A5453" s="19" t="s">
        <v>8013</v>
      </c>
    </row>
    <row r="5454" spans="1:1" x14ac:dyDescent="0.25">
      <c r="A5454" s="19" t="s">
        <v>8014</v>
      </c>
    </row>
    <row r="5455" spans="1:1" x14ac:dyDescent="0.25">
      <c r="A5455" s="19" t="s">
        <v>8015</v>
      </c>
    </row>
    <row r="5456" spans="1:1" x14ac:dyDescent="0.25">
      <c r="A5456" s="19" t="s">
        <v>8016</v>
      </c>
    </row>
    <row r="5457" spans="1:1" x14ac:dyDescent="0.25">
      <c r="A5457" s="19" t="s">
        <v>8016</v>
      </c>
    </row>
    <row r="5458" spans="1:1" x14ac:dyDescent="0.25">
      <c r="A5458" s="19" t="s">
        <v>8017</v>
      </c>
    </row>
    <row r="5459" spans="1:1" x14ac:dyDescent="0.25">
      <c r="A5459" s="19" t="s">
        <v>8018</v>
      </c>
    </row>
    <row r="5460" spans="1:1" x14ac:dyDescent="0.25">
      <c r="A5460" s="19" t="s">
        <v>8019</v>
      </c>
    </row>
    <row r="5461" spans="1:1" x14ac:dyDescent="0.25">
      <c r="A5461" s="19" t="s">
        <v>8020</v>
      </c>
    </row>
    <row r="5462" spans="1:1" x14ac:dyDescent="0.25">
      <c r="A5462" s="19" t="s">
        <v>8021</v>
      </c>
    </row>
    <row r="5463" spans="1:1" x14ac:dyDescent="0.25">
      <c r="A5463" s="19" t="s">
        <v>8022</v>
      </c>
    </row>
    <row r="5464" spans="1:1" x14ac:dyDescent="0.25">
      <c r="A5464" s="19" t="s">
        <v>8023</v>
      </c>
    </row>
    <row r="5465" spans="1:1" x14ac:dyDescent="0.25">
      <c r="A5465" s="19" t="s">
        <v>8024</v>
      </c>
    </row>
    <row r="5466" spans="1:1" x14ac:dyDescent="0.25">
      <c r="A5466" s="19" t="s">
        <v>8025</v>
      </c>
    </row>
    <row r="5467" spans="1:1" x14ac:dyDescent="0.25">
      <c r="A5467" s="19" t="s">
        <v>8026</v>
      </c>
    </row>
    <row r="5468" spans="1:1" x14ac:dyDescent="0.25">
      <c r="A5468" s="19" t="s">
        <v>8027</v>
      </c>
    </row>
    <row r="5469" spans="1:1" x14ac:dyDescent="0.25">
      <c r="A5469" s="19" t="s">
        <v>8028</v>
      </c>
    </row>
    <row r="5470" spans="1:1" x14ac:dyDescent="0.25">
      <c r="A5470" s="19" t="s">
        <v>8029</v>
      </c>
    </row>
    <row r="5471" spans="1:1" x14ac:dyDescent="0.25">
      <c r="A5471" s="19" t="s">
        <v>8030</v>
      </c>
    </row>
    <row r="5472" spans="1:1" x14ac:dyDescent="0.25">
      <c r="A5472" s="19" t="s">
        <v>8031</v>
      </c>
    </row>
    <row r="5473" spans="1:1" x14ac:dyDescent="0.25">
      <c r="A5473" s="19" t="s">
        <v>8032</v>
      </c>
    </row>
    <row r="5474" spans="1:1" x14ac:dyDescent="0.25">
      <c r="A5474" s="19" t="s">
        <v>8033</v>
      </c>
    </row>
    <row r="5475" spans="1:1" x14ac:dyDescent="0.25">
      <c r="A5475" s="19" t="s">
        <v>8034</v>
      </c>
    </row>
    <row r="5476" spans="1:1" x14ac:dyDescent="0.25">
      <c r="A5476" s="19" t="s">
        <v>8035</v>
      </c>
    </row>
    <row r="5477" spans="1:1" x14ac:dyDescent="0.25">
      <c r="A5477" s="19" t="s">
        <v>8036</v>
      </c>
    </row>
    <row r="5478" spans="1:1" x14ac:dyDescent="0.25">
      <c r="A5478" s="19" t="s">
        <v>8037</v>
      </c>
    </row>
    <row r="5479" spans="1:1" x14ac:dyDescent="0.25">
      <c r="A5479" s="19" t="s">
        <v>8038</v>
      </c>
    </row>
    <row r="5480" spans="1:1" x14ac:dyDescent="0.25">
      <c r="A5480" s="19" t="s">
        <v>8039</v>
      </c>
    </row>
    <row r="5481" spans="1:1" x14ac:dyDescent="0.25">
      <c r="A5481" s="19" t="s">
        <v>8040</v>
      </c>
    </row>
    <row r="5482" spans="1:1" x14ac:dyDescent="0.25">
      <c r="A5482" s="19" t="s">
        <v>8041</v>
      </c>
    </row>
    <row r="5483" spans="1:1" x14ac:dyDescent="0.25">
      <c r="A5483" s="19" t="s">
        <v>8042</v>
      </c>
    </row>
    <row r="5484" spans="1:1" x14ac:dyDescent="0.25">
      <c r="A5484" s="19" t="s">
        <v>8043</v>
      </c>
    </row>
    <row r="5485" spans="1:1" x14ac:dyDescent="0.25">
      <c r="A5485" s="19" t="s">
        <v>8044</v>
      </c>
    </row>
    <row r="5486" spans="1:1" x14ac:dyDescent="0.25">
      <c r="A5486" s="19" t="s">
        <v>8045</v>
      </c>
    </row>
    <row r="5487" spans="1:1" x14ac:dyDescent="0.25">
      <c r="A5487" s="19" t="s">
        <v>8046</v>
      </c>
    </row>
    <row r="5488" spans="1:1" x14ac:dyDescent="0.25">
      <c r="A5488" s="19" t="s">
        <v>8047</v>
      </c>
    </row>
    <row r="5489" spans="1:1" x14ac:dyDescent="0.25">
      <c r="A5489" s="19" t="s">
        <v>8047</v>
      </c>
    </row>
    <row r="5490" spans="1:1" x14ac:dyDescent="0.25">
      <c r="A5490" s="19" t="s">
        <v>8047</v>
      </c>
    </row>
    <row r="5491" spans="1:1" x14ac:dyDescent="0.25">
      <c r="A5491" s="19" t="s">
        <v>8048</v>
      </c>
    </row>
    <row r="5492" spans="1:1" x14ac:dyDescent="0.25">
      <c r="A5492" s="19" t="s">
        <v>8049</v>
      </c>
    </row>
    <row r="5493" spans="1:1" x14ac:dyDescent="0.25">
      <c r="A5493" s="19" t="s">
        <v>8050</v>
      </c>
    </row>
    <row r="5494" spans="1:1" x14ac:dyDescent="0.25">
      <c r="A5494" s="19" t="s">
        <v>8051</v>
      </c>
    </row>
    <row r="5495" spans="1:1" x14ac:dyDescent="0.25">
      <c r="A5495" s="19" t="s">
        <v>8052</v>
      </c>
    </row>
    <row r="5496" spans="1:1" x14ac:dyDescent="0.25">
      <c r="A5496" s="19" t="s">
        <v>8053</v>
      </c>
    </row>
    <row r="5497" spans="1:1" x14ac:dyDescent="0.25">
      <c r="A5497" s="19" t="s">
        <v>8054</v>
      </c>
    </row>
    <row r="5498" spans="1:1" x14ac:dyDescent="0.25">
      <c r="A5498" s="19" t="s">
        <v>8055</v>
      </c>
    </row>
    <row r="5499" spans="1:1" x14ac:dyDescent="0.25">
      <c r="A5499" s="19" t="s">
        <v>8056</v>
      </c>
    </row>
    <row r="5500" spans="1:1" x14ac:dyDescent="0.25">
      <c r="A5500" s="19" t="s">
        <v>8057</v>
      </c>
    </row>
    <row r="5501" spans="1:1" x14ac:dyDescent="0.25">
      <c r="A5501" s="19" t="s">
        <v>8058</v>
      </c>
    </row>
    <row r="5502" spans="1:1" x14ac:dyDescent="0.25">
      <c r="A5502" s="19" t="s">
        <v>8059</v>
      </c>
    </row>
    <row r="5503" spans="1:1" x14ac:dyDescent="0.25">
      <c r="A5503" s="19" t="s">
        <v>8060</v>
      </c>
    </row>
    <row r="5504" spans="1:1" x14ac:dyDescent="0.25">
      <c r="A5504" s="19" t="s">
        <v>8061</v>
      </c>
    </row>
    <row r="5505" spans="1:1" x14ac:dyDescent="0.25">
      <c r="A5505" s="19" t="s">
        <v>8062</v>
      </c>
    </row>
    <row r="5506" spans="1:1" x14ac:dyDescent="0.25">
      <c r="A5506" s="19" t="s">
        <v>8063</v>
      </c>
    </row>
    <row r="5507" spans="1:1" x14ac:dyDescent="0.25">
      <c r="A5507" s="19" t="s">
        <v>8064</v>
      </c>
    </row>
    <row r="5508" spans="1:1" x14ac:dyDescent="0.25">
      <c r="A5508" s="19" t="s">
        <v>8065</v>
      </c>
    </row>
    <row r="5509" spans="1:1" x14ac:dyDescent="0.25">
      <c r="A5509" s="19" t="s">
        <v>8066</v>
      </c>
    </row>
    <row r="5510" spans="1:1" x14ac:dyDescent="0.25">
      <c r="A5510" s="19" t="s">
        <v>8067</v>
      </c>
    </row>
    <row r="5511" spans="1:1" x14ac:dyDescent="0.25">
      <c r="A5511" s="19" t="s">
        <v>8068</v>
      </c>
    </row>
    <row r="5512" spans="1:1" x14ac:dyDescent="0.25">
      <c r="A5512" s="19" t="s">
        <v>8069</v>
      </c>
    </row>
    <row r="5513" spans="1:1" x14ac:dyDescent="0.25">
      <c r="A5513" s="19" t="s">
        <v>8070</v>
      </c>
    </row>
    <row r="5514" spans="1:1" x14ac:dyDescent="0.25">
      <c r="A5514" s="19" t="s">
        <v>8071</v>
      </c>
    </row>
    <row r="5515" spans="1:1" x14ac:dyDescent="0.25">
      <c r="A5515" s="19" t="s">
        <v>8072</v>
      </c>
    </row>
    <row r="5516" spans="1:1" x14ac:dyDescent="0.25">
      <c r="A5516" s="19" t="s">
        <v>8073</v>
      </c>
    </row>
    <row r="5517" spans="1:1" x14ac:dyDescent="0.25">
      <c r="A5517" s="19" t="s">
        <v>8074</v>
      </c>
    </row>
    <row r="5518" spans="1:1" x14ac:dyDescent="0.25">
      <c r="A5518" s="19" t="s">
        <v>8075</v>
      </c>
    </row>
    <row r="5519" spans="1:1" x14ac:dyDescent="0.25">
      <c r="A5519" s="19" t="s">
        <v>8076</v>
      </c>
    </row>
    <row r="5520" spans="1:1" x14ac:dyDescent="0.25">
      <c r="A5520" s="19" t="s">
        <v>8077</v>
      </c>
    </row>
    <row r="5521" spans="1:1" x14ac:dyDescent="0.25">
      <c r="A5521" s="19" t="s">
        <v>8078</v>
      </c>
    </row>
    <row r="5522" spans="1:1" x14ac:dyDescent="0.25">
      <c r="A5522" s="19" t="s">
        <v>8079</v>
      </c>
    </row>
    <row r="5523" spans="1:1" x14ac:dyDescent="0.25">
      <c r="A5523" s="19" t="s">
        <v>8080</v>
      </c>
    </row>
    <row r="5524" spans="1:1" x14ac:dyDescent="0.25">
      <c r="A5524" s="19" t="s">
        <v>8081</v>
      </c>
    </row>
    <row r="5525" spans="1:1" x14ac:dyDescent="0.25">
      <c r="A5525" s="19" t="s">
        <v>8082</v>
      </c>
    </row>
    <row r="5526" spans="1:1" x14ac:dyDescent="0.25">
      <c r="A5526" s="19" t="s">
        <v>8083</v>
      </c>
    </row>
    <row r="5527" spans="1:1" x14ac:dyDescent="0.25">
      <c r="A5527" s="19" t="s">
        <v>8084</v>
      </c>
    </row>
    <row r="5528" spans="1:1" x14ac:dyDescent="0.25">
      <c r="A5528" s="19" t="s">
        <v>8085</v>
      </c>
    </row>
    <row r="5529" spans="1:1" x14ac:dyDescent="0.25">
      <c r="A5529" s="19" t="s">
        <v>8086</v>
      </c>
    </row>
    <row r="5530" spans="1:1" x14ac:dyDescent="0.25">
      <c r="A5530" s="19" t="s">
        <v>8087</v>
      </c>
    </row>
    <row r="5531" spans="1:1" x14ac:dyDescent="0.25">
      <c r="A5531" s="19" t="s">
        <v>8088</v>
      </c>
    </row>
    <row r="5532" spans="1:1" x14ac:dyDescent="0.25">
      <c r="A5532" s="19" t="s">
        <v>8088</v>
      </c>
    </row>
    <row r="5533" spans="1:1" x14ac:dyDescent="0.25">
      <c r="A5533" s="19" t="s">
        <v>8088</v>
      </c>
    </row>
    <row r="5534" spans="1:1" x14ac:dyDescent="0.25">
      <c r="A5534" s="19" t="s">
        <v>8089</v>
      </c>
    </row>
    <row r="5535" spans="1:1" x14ac:dyDescent="0.25">
      <c r="A5535" s="19" t="s">
        <v>8090</v>
      </c>
    </row>
    <row r="5536" spans="1:1" x14ac:dyDescent="0.25">
      <c r="A5536" s="19" t="s">
        <v>8091</v>
      </c>
    </row>
    <row r="5537" spans="1:1" x14ac:dyDescent="0.25">
      <c r="A5537" s="19" t="s">
        <v>8092</v>
      </c>
    </row>
    <row r="5538" spans="1:1" x14ac:dyDescent="0.25">
      <c r="A5538" s="19" t="s">
        <v>8093</v>
      </c>
    </row>
    <row r="5539" spans="1:1" x14ac:dyDescent="0.25">
      <c r="A5539" s="19" t="s">
        <v>8094</v>
      </c>
    </row>
    <row r="5540" spans="1:1" x14ac:dyDescent="0.25">
      <c r="A5540" s="19" t="s">
        <v>8095</v>
      </c>
    </row>
    <row r="5541" spans="1:1" x14ac:dyDescent="0.25">
      <c r="A5541" s="19" t="s">
        <v>8096</v>
      </c>
    </row>
    <row r="5542" spans="1:1" x14ac:dyDescent="0.25">
      <c r="A5542" s="19" t="s">
        <v>8097</v>
      </c>
    </row>
    <row r="5543" spans="1:1" x14ac:dyDescent="0.25">
      <c r="A5543" s="19" t="s">
        <v>8098</v>
      </c>
    </row>
    <row r="5544" spans="1:1" x14ac:dyDescent="0.25">
      <c r="A5544" s="19" t="s">
        <v>8099</v>
      </c>
    </row>
    <row r="5545" spans="1:1" x14ac:dyDescent="0.25">
      <c r="A5545" s="19" t="s">
        <v>8100</v>
      </c>
    </row>
    <row r="5546" spans="1:1" x14ac:dyDescent="0.25">
      <c r="A5546" s="19" t="s">
        <v>8101</v>
      </c>
    </row>
    <row r="5547" spans="1:1" x14ac:dyDescent="0.25">
      <c r="A5547" s="19" t="s">
        <v>8102</v>
      </c>
    </row>
    <row r="5548" spans="1:1" x14ac:dyDescent="0.25">
      <c r="A5548" s="19" t="s">
        <v>8103</v>
      </c>
    </row>
    <row r="5549" spans="1:1" x14ac:dyDescent="0.25">
      <c r="A5549" s="19" t="s">
        <v>8104</v>
      </c>
    </row>
    <row r="5550" spans="1:1" x14ac:dyDescent="0.25">
      <c r="A5550" s="19" t="s">
        <v>8105</v>
      </c>
    </row>
    <row r="5551" spans="1:1" x14ac:dyDescent="0.25">
      <c r="A5551" s="19" t="s">
        <v>8106</v>
      </c>
    </row>
    <row r="5552" spans="1:1" x14ac:dyDescent="0.25">
      <c r="A5552" s="19" t="s">
        <v>8107</v>
      </c>
    </row>
    <row r="5553" spans="1:1" x14ac:dyDescent="0.25">
      <c r="A5553" s="19" t="s">
        <v>8108</v>
      </c>
    </row>
    <row r="5554" spans="1:1" x14ac:dyDescent="0.25">
      <c r="A5554" s="19" t="s">
        <v>8109</v>
      </c>
    </row>
    <row r="5555" spans="1:1" x14ac:dyDescent="0.25">
      <c r="A5555" s="19" t="s">
        <v>8110</v>
      </c>
    </row>
    <row r="5556" spans="1:1" x14ac:dyDescent="0.25">
      <c r="A5556" s="19" t="s">
        <v>8111</v>
      </c>
    </row>
    <row r="5557" spans="1:1" x14ac:dyDescent="0.25">
      <c r="A5557" s="19" t="s">
        <v>8112</v>
      </c>
    </row>
    <row r="5558" spans="1:1" x14ac:dyDescent="0.25">
      <c r="A5558" s="19" t="s">
        <v>8113</v>
      </c>
    </row>
    <row r="5559" spans="1:1" x14ac:dyDescent="0.25">
      <c r="A5559" s="19" t="s">
        <v>8114</v>
      </c>
    </row>
    <row r="5560" spans="1:1" x14ac:dyDescent="0.25">
      <c r="A5560" s="19" t="s">
        <v>8115</v>
      </c>
    </row>
    <row r="5561" spans="1:1" x14ac:dyDescent="0.25">
      <c r="A5561" s="19" t="s">
        <v>8116</v>
      </c>
    </row>
    <row r="5562" spans="1:1" x14ac:dyDescent="0.25">
      <c r="A5562" s="19" t="s">
        <v>8117</v>
      </c>
    </row>
    <row r="5563" spans="1:1" x14ac:dyDescent="0.25">
      <c r="A5563" s="19" t="s">
        <v>8118</v>
      </c>
    </row>
    <row r="5564" spans="1:1" x14ac:dyDescent="0.25">
      <c r="A5564" s="19" t="s">
        <v>8119</v>
      </c>
    </row>
    <row r="5565" spans="1:1" x14ac:dyDescent="0.25">
      <c r="A5565" s="19" t="s">
        <v>8120</v>
      </c>
    </row>
    <row r="5566" spans="1:1" x14ac:dyDescent="0.25">
      <c r="A5566" s="19" t="s">
        <v>8121</v>
      </c>
    </row>
    <row r="5567" spans="1:1" x14ac:dyDescent="0.25">
      <c r="A5567" s="19" t="s">
        <v>8122</v>
      </c>
    </row>
    <row r="5568" spans="1:1" x14ac:dyDescent="0.25">
      <c r="A5568" s="19" t="s">
        <v>8123</v>
      </c>
    </row>
    <row r="5569" spans="1:1" x14ac:dyDescent="0.25">
      <c r="A5569" s="19" t="s">
        <v>8124</v>
      </c>
    </row>
    <row r="5570" spans="1:1" x14ac:dyDescent="0.25">
      <c r="A5570" s="19" t="s">
        <v>8125</v>
      </c>
    </row>
    <row r="5571" spans="1:1" x14ac:dyDescent="0.25">
      <c r="A5571" s="19" t="s">
        <v>8126</v>
      </c>
    </row>
    <row r="5572" spans="1:1" x14ac:dyDescent="0.25">
      <c r="A5572" s="19" t="s">
        <v>8127</v>
      </c>
    </row>
    <row r="5573" spans="1:1" x14ac:dyDescent="0.25">
      <c r="A5573" s="19" t="s">
        <v>8128</v>
      </c>
    </row>
    <row r="5574" spans="1:1" x14ac:dyDescent="0.25">
      <c r="A5574" s="19" t="s">
        <v>8129</v>
      </c>
    </row>
    <row r="5575" spans="1:1" x14ac:dyDescent="0.25">
      <c r="A5575" s="19" t="s">
        <v>8130</v>
      </c>
    </row>
    <row r="5576" spans="1:1" x14ac:dyDescent="0.25">
      <c r="A5576" s="19" t="s">
        <v>8131</v>
      </c>
    </row>
    <row r="5577" spans="1:1" x14ac:dyDescent="0.25">
      <c r="A5577" s="19" t="s">
        <v>8132</v>
      </c>
    </row>
    <row r="5578" spans="1:1" x14ac:dyDescent="0.25">
      <c r="A5578" s="19" t="s">
        <v>8133</v>
      </c>
    </row>
    <row r="5579" spans="1:1" x14ac:dyDescent="0.25">
      <c r="A5579" s="19" t="s">
        <v>8134</v>
      </c>
    </row>
    <row r="5580" spans="1:1" x14ac:dyDescent="0.25">
      <c r="A5580" s="19" t="s">
        <v>8135</v>
      </c>
    </row>
    <row r="5581" spans="1:1" x14ac:dyDescent="0.25">
      <c r="A5581" s="19" t="s">
        <v>8136</v>
      </c>
    </row>
    <row r="5582" spans="1:1" x14ac:dyDescent="0.25">
      <c r="A5582" s="19" t="s">
        <v>8137</v>
      </c>
    </row>
    <row r="5583" spans="1:1" x14ac:dyDescent="0.25">
      <c r="A5583" s="19" t="s">
        <v>8138</v>
      </c>
    </row>
    <row r="5584" spans="1:1" x14ac:dyDescent="0.25">
      <c r="A5584" s="19" t="s">
        <v>8139</v>
      </c>
    </row>
    <row r="5585" spans="1:1" x14ac:dyDescent="0.25">
      <c r="A5585" s="19" t="s">
        <v>8140</v>
      </c>
    </row>
    <row r="5586" spans="1:1" x14ac:dyDescent="0.25">
      <c r="A5586" s="19" t="s">
        <v>8141</v>
      </c>
    </row>
    <row r="5587" spans="1:1" x14ac:dyDescent="0.25">
      <c r="A5587" s="19" t="s">
        <v>8142</v>
      </c>
    </row>
    <row r="5588" spans="1:1" x14ac:dyDescent="0.25">
      <c r="A5588" s="19" t="s">
        <v>8143</v>
      </c>
    </row>
    <row r="5589" spans="1:1" x14ac:dyDescent="0.25">
      <c r="A5589" s="19" t="s">
        <v>8144</v>
      </c>
    </row>
    <row r="5590" spans="1:1" x14ac:dyDescent="0.25">
      <c r="A5590" s="19" t="s">
        <v>8145</v>
      </c>
    </row>
    <row r="5591" spans="1:1" x14ac:dyDescent="0.25">
      <c r="A5591" s="19" t="s">
        <v>8146</v>
      </c>
    </row>
    <row r="5592" spans="1:1" x14ac:dyDescent="0.25">
      <c r="A5592" s="19" t="s">
        <v>8147</v>
      </c>
    </row>
    <row r="5593" spans="1:1" x14ac:dyDescent="0.25">
      <c r="A5593" s="19" t="s">
        <v>8148</v>
      </c>
    </row>
    <row r="5594" spans="1:1" x14ac:dyDescent="0.25">
      <c r="A5594" s="19" t="s">
        <v>8149</v>
      </c>
    </row>
    <row r="5595" spans="1:1" x14ac:dyDescent="0.25">
      <c r="A5595" s="19" t="s">
        <v>8150</v>
      </c>
    </row>
    <row r="5596" spans="1:1" x14ac:dyDescent="0.25">
      <c r="A5596" s="19" t="s">
        <v>8151</v>
      </c>
    </row>
    <row r="5597" spans="1:1" x14ac:dyDescent="0.25">
      <c r="A5597" s="19" t="s">
        <v>8152</v>
      </c>
    </row>
    <row r="5598" spans="1:1" x14ac:dyDescent="0.25">
      <c r="A5598" s="19" t="s">
        <v>8153</v>
      </c>
    </row>
    <row r="5599" spans="1:1" x14ac:dyDescent="0.25">
      <c r="A5599" s="19" t="s">
        <v>8154</v>
      </c>
    </row>
    <row r="5600" spans="1:1" x14ac:dyDescent="0.25">
      <c r="A5600" s="19" t="s">
        <v>8155</v>
      </c>
    </row>
    <row r="5601" spans="1:1" x14ac:dyDescent="0.25">
      <c r="A5601" s="19" t="s">
        <v>8156</v>
      </c>
    </row>
    <row r="5602" spans="1:1" x14ac:dyDescent="0.25">
      <c r="A5602" s="19" t="s">
        <v>8157</v>
      </c>
    </row>
    <row r="5603" spans="1:1" x14ac:dyDescent="0.25">
      <c r="A5603" s="19" t="s">
        <v>8158</v>
      </c>
    </row>
    <row r="5604" spans="1:1" x14ac:dyDescent="0.25">
      <c r="A5604" s="19" t="s">
        <v>8159</v>
      </c>
    </row>
    <row r="5605" spans="1:1" x14ac:dyDescent="0.25">
      <c r="A5605" s="19" t="s">
        <v>8160</v>
      </c>
    </row>
    <row r="5606" spans="1:1" x14ac:dyDescent="0.25">
      <c r="A5606" s="19" t="s">
        <v>8161</v>
      </c>
    </row>
    <row r="5607" spans="1:1" x14ac:dyDescent="0.25">
      <c r="A5607" s="19" t="s">
        <v>8162</v>
      </c>
    </row>
    <row r="5608" spans="1:1" x14ac:dyDescent="0.25">
      <c r="A5608" s="19" t="s">
        <v>8163</v>
      </c>
    </row>
    <row r="5609" spans="1:1" x14ac:dyDescent="0.25">
      <c r="A5609" s="19" t="s">
        <v>8164</v>
      </c>
    </row>
    <row r="5610" spans="1:1" x14ac:dyDescent="0.25">
      <c r="A5610" s="19" t="s">
        <v>8165</v>
      </c>
    </row>
    <row r="5611" spans="1:1" x14ac:dyDescent="0.25">
      <c r="A5611" s="19" t="s">
        <v>8166</v>
      </c>
    </row>
    <row r="5612" spans="1:1" x14ac:dyDescent="0.25">
      <c r="A5612" s="19" t="s">
        <v>8167</v>
      </c>
    </row>
    <row r="5613" spans="1:1" x14ac:dyDescent="0.25">
      <c r="A5613" s="19" t="s">
        <v>8168</v>
      </c>
    </row>
    <row r="5614" spans="1:1" x14ac:dyDescent="0.25">
      <c r="A5614" s="19" t="s">
        <v>8169</v>
      </c>
    </row>
    <row r="5615" spans="1:1" x14ac:dyDescent="0.25">
      <c r="A5615" s="19" t="s">
        <v>8170</v>
      </c>
    </row>
    <row r="5616" spans="1:1" x14ac:dyDescent="0.25">
      <c r="A5616" s="19" t="s">
        <v>8171</v>
      </c>
    </row>
    <row r="5617" spans="1:1" x14ac:dyDescent="0.25">
      <c r="A5617" s="19" t="s">
        <v>8172</v>
      </c>
    </row>
    <row r="5618" spans="1:1" x14ac:dyDescent="0.25">
      <c r="A5618" s="19" t="s">
        <v>8173</v>
      </c>
    </row>
    <row r="5619" spans="1:1" x14ac:dyDescent="0.25">
      <c r="A5619" s="19" t="s">
        <v>8174</v>
      </c>
    </row>
    <row r="5620" spans="1:1" x14ac:dyDescent="0.25">
      <c r="A5620" s="19" t="s">
        <v>8175</v>
      </c>
    </row>
    <row r="5621" spans="1:1" x14ac:dyDescent="0.25">
      <c r="A5621" s="19" t="s">
        <v>8176</v>
      </c>
    </row>
    <row r="5622" spans="1:1" x14ac:dyDescent="0.25">
      <c r="A5622" s="19" t="s">
        <v>8177</v>
      </c>
    </row>
    <row r="5623" spans="1:1" x14ac:dyDescent="0.25">
      <c r="A5623" s="19" t="s">
        <v>8178</v>
      </c>
    </row>
    <row r="5624" spans="1:1" x14ac:dyDescent="0.25">
      <c r="A5624" s="19" t="s">
        <v>8179</v>
      </c>
    </row>
    <row r="5625" spans="1:1" x14ac:dyDescent="0.25">
      <c r="A5625" s="19" t="s">
        <v>8180</v>
      </c>
    </row>
    <row r="5626" spans="1:1" x14ac:dyDescent="0.25">
      <c r="A5626" s="19" t="s">
        <v>8181</v>
      </c>
    </row>
    <row r="5627" spans="1:1" x14ac:dyDescent="0.25">
      <c r="A5627" s="19" t="s">
        <v>8182</v>
      </c>
    </row>
    <row r="5628" spans="1:1" x14ac:dyDescent="0.25">
      <c r="A5628" s="19" t="s">
        <v>8183</v>
      </c>
    </row>
    <row r="5629" spans="1:1" x14ac:dyDescent="0.25">
      <c r="A5629" s="19" t="s">
        <v>8184</v>
      </c>
    </row>
    <row r="5630" spans="1:1" x14ac:dyDescent="0.25">
      <c r="A5630" s="19" t="s">
        <v>8185</v>
      </c>
    </row>
    <row r="5631" spans="1:1" x14ac:dyDescent="0.25">
      <c r="A5631" s="19" t="s">
        <v>8186</v>
      </c>
    </row>
    <row r="5632" spans="1:1" x14ac:dyDescent="0.25">
      <c r="A5632" s="19" t="s">
        <v>8187</v>
      </c>
    </row>
    <row r="5633" spans="1:1" x14ac:dyDescent="0.25">
      <c r="A5633" s="19" t="s">
        <v>8188</v>
      </c>
    </row>
    <row r="5634" spans="1:1" x14ac:dyDescent="0.25">
      <c r="A5634" s="19" t="s">
        <v>8189</v>
      </c>
    </row>
    <row r="5635" spans="1:1" x14ac:dyDescent="0.25">
      <c r="A5635" s="19" t="s">
        <v>8190</v>
      </c>
    </row>
    <row r="5636" spans="1:1" x14ac:dyDescent="0.25">
      <c r="A5636" s="19" t="s">
        <v>8191</v>
      </c>
    </row>
    <row r="5637" spans="1:1" x14ac:dyDescent="0.25">
      <c r="A5637" s="19" t="s">
        <v>8192</v>
      </c>
    </row>
    <row r="5638" spans="1:1" x14ac:dyDescent="0.25">
      <c r="A5638" s="19" t="s">
        <v>8193</v>
      </c>
    </row>
    <row r="5639" spans="1:1" x14ac:dyDescent="0.25">
      <c r="A5639" s="19" t="s">
        <v>8194</v>
      </c>
    </row>
    <row r="5640" spans="1:1" x14ac:dyDescent="0.25">
      <c r="A5640" s="19" t="s">
        <v>8195</v>
      </c>
    </row>
    <row r="5641" spans="1:1" x14ac:dyDescent="0.25">
      <c r="A5641" s="19" t="s">
        <v>8196</v>
      </c>
    </row>
    <row r="5642" spans="1:1" x14ac:dyDescent="0.25">
      <c r="A5642" s="19" t="s">
        <v>8197</v>
      </c>
    </row>
    <row r="5643" spans="1:1" x14ac:dyDescent="0.25">
      <c r="A5643" s="19" t="s">
        <v>8198</v>
      </c>
    </row>
    <row r="5644" spans="1:1" x14ac:dyDescent="0.25">
      <c r="A5644" s="19" t="s">
        <v>8199</v>
      </c>
    </row>
    <row r="5645" spans="1:1" x14ac:dyDescent="0.25">
      <c r="A5645" s="19" t="s">
        <v>8200</v>
      </c>
    </row>
    <row r="5646" spans="1:1" x14ac:dyDescent="0.25">
      <c r="A5646" s="19" t="s">
        <v>8201</v>
      </c>
    </row>
    <row r="5647" spans="1:1" x14ac:dyDescent="0.25">
      <c r="A5647" s="19" t="s">
        <v>8202</v>
      </c>
    </row>
    <row r="5648" spans="1:1" x14ac:dyDescent="0.25">
      <c r="A5648" s="19" t="s">
        <v>8203</v>
      </c>
    </row>
    <row r="5649" spans="1:1" x14ac:dyDescent="0.25">
      <c r="A5649" s="19" t="s">
        <v>8204</v>
      </c>
    </row>
    <row r="5650" spans="1:1" x14ac:dyDescent="0.25">
      <c r="A5650" s="19" t="s">
        <v>8205</v>
      </c>
    </row>
    <row r="5651" spans="1:1" x14ac:dyDescent="0.25">
      <c r="A5651" s="19" t="s">
        <v>8206</v>
      </c>
    </row>
    <row r="5652" spans="1:1" x14ac:dyDescent="0.25">
      <c r="A5652" s="19" t="s">
        <v>8207</v>
      </c>
    </row>
    <row r="5653" spans="1:1" x14ac:dyDescent="0.25">
      <c r="A5653" s="19" t="s">
        <v>8208</v>
      </c>
    </row>
    <row r="5654" spans="1:1" x14ac:dyDescent="0.25">
      <c r="A5654" s="19" t="s">
        <v>8209</v>
      </c>
    </row>
    <row r="5655" spans="1:1" x14ac:dyDescent="0.25">
      <c r="A5655" s="19" t="s">
        <v>8210</v>
      </c>
    </row>
    <row r="5656" spans="1:1" x14ac:dyDescent="0.25">
      <c r="A5656" s="19" t="s">
        <v>8211</v>
      </c>
    </row>
    <row r="5657" spans="1:1" x14ac:dyDescent="0.25">
      <c r="A5657" s="19" t="s">
        <v>8212</v>
      </c>
    </row>
    <row r="5658" spans="1:1" x14ac:dyDescent="0.25">
      <c r="A5658" s="19" t="s">
        <v>8213</v>
      </c>
    </row>
    <row r="5659" spans="1:1" x14ac:dyDescent="0.25">
      <c r="A5659" s="19" t="s">
        <v>8214</v>
      </c>
    </row>
    <row r="5660" spans="1:1" x14ac:dyDescent="0.25">
      <c r="A5660" s="19" t="s">
        <v>8215</v>
      </c>
    </row>
    <row r="5661" spans="1:1" x14ac:dyDescent="0.25">
      <c r="A5661" s="19" t="s">
        <v>8216</v>
      </c>
    </row>
    <row r="5662" spans="1:1" x14ac:dyDescent="0.25">
      <c r="A5662" s="19" t="s">
        <v>8217</v>
      </c>
    </row>
    <row r="5663" spans="1:1" x14ac:dyDescent="0.25">
      <c r="A5663" s="19" t="s">
        <v>8218</v>
      </c>
    </row>
    <row r="5664" spans="1:1" x14ac:dyDescent="0.25">
      <c r="A5664" s="19" t="s">
        <v>8219</v>
      </c>
    </row>
    <row r="5665" spans="1:1" x14ac:dyDescent="0.25">
      <c r="A5665" s="19" t="s">
        <v>8220</v>
      </c>
    </row>
    <row r="5666" spans="1:1" x14ac:dyDescent="0.25">
      <c r="A5666" s="19" t="s">
        <v>8221</v>
      </c>
    </row>
    <row r="5667" spans="1:1" x14ac:dyDescent="0.25">
      <c r="A5667" s="19" t="s">
        <v>8222</v>
      </c>
    </row>
    <row r="5668" spans="1:1" x14ac:dyDescent="0.25">
      <c r="A5668" s="19" t="s">
        <v>8223</v>
      </c>
    </row>
    <row r="5669" spans="1:1" x14ac:dyDescent="0.25">
      <c r="A5669" s="19" t="s">
        <v>8224</v>
      </c>
    </row>
    <row r="5670" spans="1:1" x14ac:dyDescent="0.25">
      <c r="A5670" s="19" t="s">
        <v>8225</v>
      </c>
    </row>
    <row r="5671" spans="1:1" x14ac:dyDescent="0.25">
      <c r="A5671" s="19" t="s">
        <v>8226</v>
      </c>
    </row>
    <row r="5672" spans="1:1" x14ac:dyDescent="0.25">
      <c r="A5672" s="19" t="s">
        <v>8227</v>
      </c>
    </row>
    <row r="5673" spans="1:1" x14ac:dyDescent="0.25">
      <c r="A5673" s="19" t="s">
        <v>8228</v>
      </c>
    </row>
    <row r="5674" spans="1:1" x14ac:dyDescent="0.25">
      <c r="A5674" s="19" t="s">
        <v>8229</v>
      </c>
    </row>
    <row r="5675" spans="1:1" x14ac:dyDescent="0.25">
      <c r="A5675" s="19" t="s">
        <v>8230</v>
      </c>
    </row>
    <row r="5676" spans="1:1" x14ac:dyDescent="0.25">
      <c r="A5676" s="19" t="s">
        <v>8231</v>
      </c>
    </row>
    <row r="5677" spans="1:1" x14ac:dyDescent="0.25">
      <c r="A5677" s="19" t="s">
        <v>8232</v>
      </c>
    </row>
    <row r="5678" spans="1:1" x14ac:dyDescent="0.25">
      <c r="A5678" s="19" t="s">
        <v>8233</v>
      </c>
    </row>
    <row r="5679" spans="1:1" x14ac:dyDescent="0.25">
      <c r="A5679" s="19" t="s">
        <v>8234</v>
      </c>
    </row>
    <row r="5680" spans="1:1" x14ac:dyDescent="0.25">
      <c r="A5680" s="19" t="s">
        <v>8235</v>
      </c>
    </row>
    <row r="5681" spans="1:1" x14ac:dyDescent="0.25">
      <c r="A5681" s="19" t="s">
        <v>8236</v>
      </c>
    </row>
    <row r="5682" spans="1:1" x14ac:dyDescent="0.25">
      <c r="A5682" s="19" t="s">
        <v>8237</v>
      </c>
    </row>
    <row r="5683" spans="1:1" x14ac:dyDescent="0.25">
      <c r="A5683" s="19" t="s">
        <v>8238</v>
      </c>
    </row>
    <row r="5684" spans="1:1" x14ac:dyDescent="0.25">
      <c r="A5684" s="19" t="s">
        <v>8239</v>
      </c>
    </row>
    <row r="5685" spans="1:1" x14ac:dyDescent="0.25">
      <c r="A5685" s="19" t="s">
        <v>8240</v>
      </c>
    </row>
    <row r="5686" spans="1:1" x14ac:dyDescent="0.25">
      <c r="A5686" s="19" t="s">
        <v>8241</v>
      </c>
    </row>
    <row r="5687" spans="1:1" x14ac:dyDescent="0.25">
      <c r="A5687" s="19" t="s">
        <v>8242</v>
      </c>
    </row>
    <row r="5688" spans="1:1" x14ac:dyDescent="0.25">
      <c r="A5688" s="19" t="s">
        <v>8243</v>
      </c>
    </row>
    <row r="5689" spans="1:1" x14ac:dyDescent="0.25">
      <c r="A5689" s="19" t="s">
        <v>8244</v>
      </c>
    </row>
    <row r="5690" spans="1:1" x14ac:dyDescent="0.25">
      <c r="A5690" s="19" t="s">
        <v>8245</v>
      </c>
    </row>
    <row r="5691" spans="1:1" x14ac:dyDescent="0.25">
      <c r="A5691" s="19" t="s">
        <v>8246</v>
      </c>
    </row>
    <row r="5692" spans="1:1" x14ac:dyDescent="0.25">
      <c r="A5692" s="19" t="s">
        <v>8247</v>
      </c>
    </row>
    <row r="5693" spans="1:1" x14ac:dyDescent="0.25">
      <c r="A5693" s="19" t="s">
        <v>8248</v>
      </c>
    </row>
    <row r="5694" spans="1:1" x14ac:dyDescent="0.25">
      <c r="A5694" s="19" t="s">
        <v>8249</v>
      </c>
    </row>
    <row r="5695" spans="1:1" x14ac:dyDescent="0.25">
      <c r="A5695" s="19" t="s">
        <v>8250</v>
      </c>
    </row>
    <row r="5696" spans="1:1" x14ac:dyDescent="0.25">
      <c r="A5696" s="19" t="s">
        <v>8251</v>
      </c>
    </row>
    <row r="5697" spans="1:1" x14ac:dyDescent="0.25">
      <c r="A5697" s="19" t="s">
        <v>8252</v>
      </c>
    </row>
    <row r="5698" spans="1:1" x14ac:dyDescent="0.25">
      <c r="A5698" s="19" t="s">
        <v>8253</v>
      </c>
    </row>
    <row r="5699" spans="1:1" x14ac:dyDescent="0.25">
      <c r="A5699" s="19" t="s">
        <v>8254</v>
      </c>
    </row>
    <row r="5700" spans="1:1" x14ac:dyDescent="0.25">
      <c r="A5700" s="19" t="s">
        <v>8255</v>
      </c>
    </row>
    <row r="5701" spans="1:1" x14ac:dyDescent="0.25">
      <c r="A5701" s="19" t="s">
        <v>8256</v>
      </c>
    </row>
    <row r="5702" spans="1:1" x14ac:dyDescent="0.25">
      <c r="A5702" s="19" t="s">
        <v>8257</v>
      </c>
    </row>
    <row r="5703" spans="1:1" x14ac:dyDescent="0.25">
      <c r="A5703" s="19" t="s">
        <v>8258</v>
      </c>
    </row>
    <row r="5704" spans="1:1" x14ac:dyDescent="0.25">
      <c r="A5704" s="19" t="s">
        <v>8259</v>
      </c>
    </row>
    <row r="5705" spans="1:1" x14ac:dyDescent="0.25">
      <c r="A5705" s="19" t="s">
        <v>8260</v>
      </c>
    </row>
    <row r="5706" spans="1:1" x14ac:dyDescent="0.25">
      <c r="A5706" s="19" t="s">
        <v>8261</v>
      </c>
    </row>
    <row r="5707" spans="1:1" x14ac:dyDescent="0.25">
      <c r="A5707" s="19" t="s">
        <v>8262</v>
      </c>
    </row>
    <row r="5708" spans="1:1" x14ac:dyDescent="0.25">
      <c r="A5708" s="19" t="s">
        <v>8263</v>
      </c>
    </row>
    <row r="5709" spans="1:1" x14ac:dyDescent="0.25">
      <c r="A5709" s="19" t="s">
        <v>8264</v>
      </c>
    </row>
    <row r="5710" spans="1:1" x14ac:dyDescent="0.25">
      <c r="A5710" s="19" t="s">
        <v>8265</v>
      </c>
    </row>
    <row r="5711" spans="1:1" x14ac:dyDescent="0.25">
      <c r="A5711" s="19" t="s">
        <v>8266</v>
      </c>
    </row>
    <row r="5712" spans="1:1" x14ac:dyDescent="0.25">
      <c r="A5712" s="19" t="s">
        <v>8267</v>
      </c>
    </row>
    <row r="5713" spans="1:1" x14ac:dyDescent="0.25">
      <c r="A5713" s="19" t="s">
        <v>8268</v>
      </c>
    </row>
    <row r="5714" spans="1:1" x14ac:dyDescent="0.25">
      <c r="A5714" s="19" t="s">
        <v>8269</v>
      </c>
    </row>
    <row r="5715" spans="1:1" x14ac:dyDescent="0.25">
      <c r="A5715" s="19" t="s">
        <v>8270</v>
      </c>
    </row>
    <row r="5716" spans="1:1" x14ac:dyDescent="0.25">
      <c r="A5716" s="19" t="s">
        <v>8271</v>
      </c>
    </row>
    <row r="5717" spans="1:1" x14ac:dyDescent="0.25">
      <c r="A5717" s="19" t="s">
        <v>8272</v>
      </c>
    </row>
    <row r="5718" spans="1:1" x14ac:dyDescent="0.25">
      <c r="A5718" s="19" t="s">
        <v>8273</v>
      </c>
    </row>
    <row r="5719" spans="1:1" x14ac:dyDescent="0.25">
      <c r="A5719" s="19" t="s">
        <v>8274</v>
      </c>
    </row>
    <row r="5720" spans="1:1" x14ac:dyDescent="0.25">
      <c r="A5720" s="19" t="s">
        <v>8275</v>
      </c>
    </row>
    <row r="5721" spans="1:1" x14ac:dyDescent="0.25">
      <c r="A5721" s="19" t="s">
        <v>8276</v>
      </c>
    </row>
    <row r="5722" spans="1:1" x14ac:dyDescent="0.25">
      <c r="A5722" s="19" t="s">
        <v>8277</v>
      </c>
    </row>
    <row r="5723" spans="1:1" x14ac:dyDescent="0.25">
      <c r="A5723" s="19" t="s">
        <v>8278</v>
      </c>
    </row>
    <row r="5724" spans="1:1" x14ac:dyDescent="0.25">
      <c r="A5724" s="19" t="s">
        <v>8279</v>
      </c>
    </row>
    <row r="5725" spans="1:1" x14ac:dyDescent="0.25">
      <c r="A5725" s="19" t="s">
        <v>8280</v>
      </c>
    </row>
    <row r="5726" spans="1:1" x14ac:dyDescent="0.25">
      <c r="A5726" s="19" t="s">
        <v>8281</v>
      </c>
    </row>
    <row r="5727" spans="1:1" x14ac:dyDescent="0.25">
      <c r="A5727" s="19" t="s">
        <v>8282</v>
      </c>
    </row>
    <row r="5728" spans="1:1" x14ac:dyDescent="0.25">
      <c r="A5728" s="19" t="s">
        <v>8283</v>
      </c>
    </row>
    <row r="5729" spans="1:1" x14ac:dyDescent="0.25">
      <c r="A5729" s="19" t="s">
        <v>8284</v>
      </c>
    </row>
    <row r="5730" spans="1:1" x14ac:dyDescent="0.25">
      <c r="A5730" s="19" t="s">
        <v>8285</v>
      </c>
    </row>
    <row r="5731" spans="1:1" x14ac:dyDescent="0.25">
      <c r="A5731" s="19" t="s">
        <v>8286</v>
      </c>
    </row>
    <row r="5732" spans="1:1" x14ac:dyDescent="0.25">
      <c r="A5732" s="19" t="s">
        <v>8287</v>
      </c>
    </row>
    <row r="5733" spans="1:1" x14ac:dyDescent="0.25">
      <c r="A5733" s="19" t="s">
        <v>8288</v>
      </c>
    </row>
    <row r="5734" spans="1:1" x14ac:dyDescent="0.25">
      <c r="A5734" s="19" t="s">
        <v>8289</v>
      </c>
    </row>
    <row r="5735" spans="1:1" x14ac:dyDescent="0.25">
      <c r="A5735" s="19" t="s">
        <v>8290</v>
      </c>
    </row>
    <row r="5736" spans="1:1" x14ac:dyDescent="0.25">
      <c r="A5736" s="19" t="s">
        <v>8291</v>
      </c>
    </row>
    <row r="5737" spans="1:1" x14ac:dyDescent="0.25">
      <c r="A5737" s="19" t="s">
        <v>8292</v>
      </c>
    </row>
    <row r="5738" spans="1:1" x14ac:dyDescent="0.25">
      <c r="A5738" s="19" t="s">
        <v>8293</v>
      </c>
    </row>
    <row r="5739" spans="1:1" x14ac:dyDescent="0.25">
      <c r="A5739" s="19" t="s">
        <v>8294</v>
      </c>
    </row>
    <row r="5740" spans="1:1" x14ac:dyDescent="0.25">
      <c r="A5740" s="19" t="s">
        <v>8295</v>
      </c>
    </row>
    <row r="5741" spans="1:1" x14ac:dyDescent="0.25">
      <c r="A5741" s="19" t="s">
        <v>8296</v>
      </c>
    </row>
    <row r="5742" spans="1:1" x14ac:dyDescent="0.25">
      <c r="A5742" s="19" t="s">
        <v>8297</v>
      </c>
    </row>
    <row r="5743" spans="1:1" x14ac:dyDescent="0.25">
      <c r="A5743" s="19" t="s">
        <v>8298</v>
      </c>
    </row>
    <row r="5744" spans="1:1" x14ac:dyDescent="0.25">
      <c r="A5744" s="19" t="s">
        <v>8299</v>
      </c>
    </row>
    <row r="5745" spans="1:1" x14ac:dyDescent="0.25">
      <c r="A5745" s="19" t="s">
        <v>8300</v>
      </c>
    </row>
    <row r="5746" spans="1:1" x14ac:dyDescent="0.25">
      <c r="A5746" s="19" t="s">
        <v>8301</v>
      </c>
    </row>
    <row r="5747" spans="1:1" x14ac:dyDescent="0.25">
      <c r="A5747" s="19" t="s">
        <v>8302</v>
      </c>
    </row>
    <row r="5748" spans="1:1" x14ac:dyDescent="0.25">
      <c r="A5748" s="19" t="s">
        <v>8303</v>
      </c>
    </row>
    <row r="5749" spans="1:1" x14ac:dyDescent="0.25">
      <c r="A5749" s="19" t="s">
        <v>8304</v>
      </c>
    </row>
    <row r="5750" spans="1:1" x14ac:dyDescent="0.25">
      <c r="A5750" s="19" t="s">
        <v>8305</v>
      </c>
    </row>
    <row r="5751" spans="1:1" x14ac:dyDescent="0.25">
      <c r="A5751" s="19" t="s">
        <v>8306</v>
      </c>
    </row>
    <row r="5752" spans="1:1" x14ac:dyDescent="0.25">
      <c r="A5752" s="19" t="s">
        <v>8307</v>
      </c>
    </row>
    <row r="5753" spans="1:1" x14ac:dyDescent="0.25">
      <c r="A5753" s="19" t="s">
        <v>8308</v>
      </c>
    </row>
    <row r="5754" spans="1:1" x14ac:dyDescent="0.25">
      <c r="A5754" s="19" t="s">
        <v>8309</v>
      </c>
    </row>
    <row r="5755" spans="1:1" x14ac:dyDescent="0.25">
      <c r="A5755" s="19" t="s">
        <v>8310</v>
      </c>
    </row>
    <row r="5756" spans="1:1" x14ac:dyDescent="0.25">
      <c r="A5756" s="19" t="s">
        <v>8311</v>
      </c>
    </row>
    <row r="5757" spans="1:1" x14ac:dyDescent="0.25">
      <c r="A5757" s="19" t="s">
        <v>8312</v>
      </c>
    </row>
    <row r="5758" spans="1:1" x14ac:dyDescent="0.25">
      <c r="A5758" s="19" t="s">
        <v>8313</v>
      </c>
    </row>
    <row r="5759" spans="1:1" x14ac:dyDescent="0.25">
      <c r="A5759" s="19" t="s">
        <v>8314</v>
      </c>
    </row>
    <row r="5760" spans="1:1" x14ac:dyDescent="0.25">
      <c r="A5760" s="19" t="s">
        <v>8315</v>
      </c>
    </row>
    <row r="5761" spans="1:1" x14ac:dyDescent="0.25">
      <c r="A5761" s="19" t="s">
        <v>8316</v>
      </c>
    </row>
    <row r="5762" spans="1:1" x14ac:dyDescent="0.25">
      <c r="A5762" s="19" t="s">
        <v>8317</v>
      </c>
    </row>
    <row r="5763" spans="1:1" x14ac:dyDescent="0.25">
      <c r="A5763" s="19" t="s">
        <v>8318</v>
      </c>
    </row>
    <row r="5764" spans="1:1" x14ac:dyDescent="0.25">
      <c r="A5764" s="19" t="s">
        <v>8319</v>
      </c>
    </row>
    <row r="5765" spans="1:1" x14ac:dyDescent="0.25">
      <c r="A5765" s="19" t="s">
        <v>8320</v>
      </c>
    </row>
    <row r="5766" spans="1:1" x14ac:dyDescent="0.25">
      <c r="A5766" s="19" t="s">
        <v>8321</v>
      </c>
    </row>
    <row r="5767" spans="1:1" x14ac:dyDescent="0.25">
      <c r="A5767" s="19" t="s">
        <v>8322</v>
      </c>
    </row>
    <row r="5768" spans="1:1" x14ac:dyDescent="0.25">
      <c r="A5768" s="19" t="s">
        <v>8323</v>
      </c>
    </row>
    <row r="5769" spans="1:1" x14ac:dyDescent="0.25">
      <c r="A5769" s="19" t="s">
        <v>8324</v>
      </c>
    </row>
    <row r="5770" spans="1:1" x14ac:dyDescent="0.25">
      <c r="A5770" s="19" t="s">
        <v>8325</v>
      </c>
    </row>
    <row r="5771" spans="1:1" x14ac:dyDescent="0.25">
      <c r="A5771" s="19" t="s">
        <v>8326</v>
      </c>
    </row>
    <row r="5772" spans="1:1" x14ac:dyDescent="0.25">
      <c r="A5772" s="19" t="s">
        <v>8327</v>
      </c>
    </row>
    <row r="5773" spans="1:1" x14ac:dyDescent="0.25">
      <c r="A5773" s="19" t="s">
        <v>8328</v>
      </c>
    </row>
    <row r="5774" spans="1:1" x14ac:dyDescent="0.25">
      <c r="A5774" s="19" t="s">
        <v>8329</v>
      </c>
    </row>
    <row r="5775" spans="1:1" x14ac:dyDescent="0.25">
      <c r="A5775" s="19" t="s">
        <v>8330</v>
      </c>
    </row>
    <row r="5776" spans="1:1" x14ac:dyDescent="0.25">
      <c r="A5776" s="19" t="s">
        <v>8331</v>
      </c>
    </row>
    <row r="5777" spans="1:1" x14ac:dyDescent="0.25">
      <c r="A5777" s="19" t="s">
        <v>8332</v>
      </c>
    </row>
    <row r="5778" spans="1:1" x14ac:dyDescent="0.25">
      <c r="A5778" s="19" t="s">
        <v>8333</v>
      </c>
    </row>
    <row r="5779" spans="1:1" x14ac:dyDescent="0.25">
      <c r="A5779" s="19" t="s">
        <v>8334</v>
      </c>
    </row>
    <row r="5780" spans="1:1" x14ac:dyDescent="0.25">
      <c r="A5780" s="19" t="s">
        <v>8335</v>
      </c>
    </row>
    <row r="5781" spans="1:1" x14ac:dyDescent="0.25">
      <c r="A5781" s="19" t="s">
        <v>8336</v>
      </c>
    </row>
    <row r="5782" spans="1:1" x14ac:dyDescent="0.25">
      <c r="A5782" s="19" t="s">
        <v>8337</v>
      </c>
    </row>
    <row r="5783" spans="1:1" x14ac:dyDescent="0.25">
      <c r="A5783" s="19" t="s">
        <v>8338</v>
      </c>
    </row>
    <row r="5784" spans="1:1" x14ac:dyDescent="0.25">
      <c r="A5784" s="19" t="s">
        <v>8339</v>
      </c>
    </row>
    <row r="5785" spans="1:1" x14ac:dyDescent="0.25">
      <c r="A5785" s="19" t="s">
        <v>8340</v>
      </c>
    </row>
    <row r="5786" spans="1:1" x14ac:dyDescent="0.25">
      <c r="A5786" s="19" t="s">
        <v>8341</v>
      </c>
    </row>
    <row r="5787" spans="1:1" x14ac:dyDescent="0.25">
      <c r="A5787" s="19" t="s">
        <v>8342</v>
      </c>
    </row>
    <row r="5788" spans="1:1" x14ac:dyDescent="0.25">
      <c r="A5788" s="19" t="s">
        <v>8343</v>
      </c>
    </row>
    <row r="5789" spans="1:1" x14ac:dyDescent="0.25">
      <c r="A5789" s="19" t="s">
        <v>8344</v>
      </c>
    </row>
    <row r="5790" spans="1:1" x14ac:dyDescent="0.25">
      <c r="A5790" s="19" t="s">
        <v>8345</v>
      </c>
    </row>
    <row r="5791" spans="1:1" x14ac:dyDescent="0.25">
      <c r="A5791" s="19" t="s">
        <v>8346</v>
      </c>
    </row>
    <row r="5792" spans="1:1" x14ac:dyDescent="0.25">
      <c r="A5792" s="19" t="s">
        <v>8347</v>
      </c>
    </row>
    <row r="5793" spans="1:1" x14ac:dyDescent="0.25">
      <c r="A5793" s="19" t="s">
        <v>8348</v>
      </c>
    </row>
    <row r="5794" spans="1:1" x14ac:dyDescent="0.25">
      <c r="A5794" s="19" t="s">
        <v>8349</v>
      </c>
    </row>
    <row r="5795" spans="1:1" x14ac:dyDescent="0.25">
      <c r="A5795" s="19" t="s">
        <v>8350</v>
      </c>
    </row>
    <row r="5796" spans="1:1" x14ac:dyDescent="0.25">
      <c r="A5796" s="19" t="s">
        <v>8351</v>
      </c>
    </row>
    <row r="5797" spans="1:1" x14ac:dyDescent="0.25">
      <c r="A5797" s="19" t="s">
        <v>8352</v>
      </c>
    </row>
    <row r="5798" spans="1:1" x14ac:dyDescent="0.25">
      <c r="A5798" s="19" t="s">
        <v>8353</v>
      </c>
    </row>
    <row r="5799" spans="1:1" x14ac:dyDescent="0.25">
      <c r="A5799" s="19" t="s">
        <v>8354</v>
      </c>
    </row>
    <row r="5800" spans="1:1" x14ac:dyDescent="0.25">
      <c r="A5800" s="19" t="s">
        <v>8355</v>
      </c>
    </row>
    <row r="5801" spans="1:1" x14ac:dyDescent="0.25">
      <c r="A5801" s="19" t="s">
        <v>8356</v>
      </c>
    </row>
    <row r="5802" spans="1:1" x14ac:dyDescent="0.25">
      <c r="A5802" s="19" t="s">
        <v>8357</v>
      </c>
    </row>
    <row r="5803" spans="1:1" x14ac:dyDescent="0.25">
      <c r="A5803" s="19" t="s">
        <v>8358</v>
      </c>
    </row>
    <row r="5804" spans="1:1" x14ac:dyDescent="0.25">
      <c r="A5804" s="19" t="s">
        <v>8359</v>
      </c>
    </row>
    <row r="5805" spans="1:1" x14ac:dyDescent="0.25">
      <c r="A5805" s="19" t="s">
        <v>8360</v>
      </c>
    </row>
    <row r="5806" spans="1:1" x14ac:dyDescent="0.25">
      <c r="A5806" s="19" t="s">
        <v>8361</v>
      </c>
    </row>
    <row r="5807" spans="1:1" x14ac:dyDescent="0.25">
      <c r="A5807" s="19" t="s">
        <v>8362</v>
      </c>
    </row>
    <row r="5808" spans="1:1" x14ac:dyDescent="0.25">
      <c r="A5808" s="19" t="s">
        <v>8363</v>
      </c>
    </row>
    <row r="5809" spans="1:1" x14ac:dyDescent="0.25">
      <c r="A5809" s="19" t="s">
        <v>8364</v>
      </c>
    </row>
    <row r="5810" spans="1:1" x14ac:dyDescent="0.25">
      <c r="A5810" s="19" t="s">
        <v>8365</v>
      </c>
    </row>
    <row r="5811" spans="1:1" x14ac:dyDescent="0.25">
      <c r="A5811" s="19" t="s">
        <v>8366</v>
      </c>
    </row>
    <row r="5812" spans="1:1" x14ac:dyDescent="0.25">
      <c r="A5812" s="19" t="s">
        <v>8367</v>
      </c>
    </row>
    <row r="5813" spans="1:1" x14ac:dyDescent="0.25">
      <c r="A5813" s="19" t="s">
        <v>8368</v>
      </c>
    </row>
    <row r="5814" spans="1:1" x14ac:dyDescent="0.25">
      <c r="A5814" s="19" t="s">
        <v>8369</v>
      </c>
    </row>
    <row r="5815" spans="1:1" x14ac:dyDescent="0.25">
      <c r="A5815" s="19" t="s">
        <v>8370</v>
      </c>
    </row>
    <row r="5816" spans="1:1" x14ac:dyDescent="0.25">
      <c r="A5816" s="19" t="s">
        <v>8371</v>
      </c>
    </row>
    <row r="5817" spans="1:1" x14ac:dyDescent="0.25">
      <c r="A5817" s="19" t="s">
        <v>8372</v>
      </c>
    </row>
    <row r="5818" spans="1:1" x14ac:dyDescent="0.25">
      <c r="A5818" s="19" t="s">
        <v>8372</v>
      </c>
    </row>
    <row r="5819" spans="1:1" x14ac:dyDescent="0.25">
      <c r="A5819" s="19" t="s">
        <v>8373</v>
      </c>
    </row>
    <row r="5820" spans="1:1" x14ac:dyDescent="0.25">
      <c r="A5820" s="19" t="s">
        <v>8374</v>
      </c>
    </row>
    <row r="5821" spans="1:1" x14ac:dyDescent="0.25">
      <c r="A5821" s="19" t="s">
        <v>8375</v>
      </c>
    </row>
    <row r="5822" spans="1:1" x14ac:dyDescent="0.25">
      <c r="A5822" s="19" t="s">
        <v>8376</v>
      </c>
    </row>
    <row r="5823" spans="1:1" x14ac:dyDescent="0.25">
      <c r="A5823" s="19" t="s">
        <v>8377</v>
      </c>
    </row>
    <row r="5824" spans="1:1" x14ac:dyDescent="0.25">
      <c r="A5824" s="19" t="s">
        <v>8378</v>
      </c>
    </row>
    <row r="5825" spans="1:1" x14ac:dyDescent="0.25">
      <c r="A5825" s="19" t="s">
        <v>8379</v>
      </c>
    </row>
    <row r="5826" spans="1:1" x14ac:dyDescent="0.25">
      <c r="A5826" s="19" t="s">
        <v>8380</v>
      </c>
    </row>
    <row r="5827" spans="1:1" x14ac:dyDescent="0.25">
      <c r="A5827" s="19" t="s">
        <v>8381</v>
      </c>
    </row>
    <row r="5828" spans="1:1" x14ac:dyDescent="0.25">
      <c r="A5828" s="19" t="s">
        <v>8382</v>
      </c>
    </row>
    <row r="5829" spans="1:1" x14ac:dyDescent="0.25">
      <c r="A5829" s="19" t="s">
        <v>8383</v>
      </c>
    </row>
    <row r="5830" spans="1:1" x14ac:dyDescent="0.25">
      <c r="A5830" s="19" t="s">
        <v>8384</v>
      </c>
    </row>
    <row r="5831" spans="1:1" x14ac:dyDescent="0.25">
      <c r="A5831" s="19" t="s">
        <v>8385</v>
      </c>
    </row>
    <row r="5832" spans="1:1" x14ac:dyDescent="0.25">
      <c r="A5832" s="19" t="s">
        <v>8386</v>
      </c>
    </row>
    <row r="5833" spans="1:1" x14ac:dyDescent="0.25">
      <c r="A5833" s="19" t="s">
        <v>8387</v>
      </c>
    </row>
    <row r="5834" spans="1:1" x14ac:dyDescent="0.25">
      <c r="A5834" s="19" t="s">
        <v>8388</v>
      </c>
    </row>
    <row r="5835" spans="1:1" x14ac:dyDescent="0.25">
      <c r="A5835" s="19" t="s">
        <v>8389</v>
      </c>
    </row>
    <row r="5836" spans="1:1" x14ac:dyDescent="0.25">
      <c r="A5836" s="19" t="s">
        <v>8390</v>
      </c>
    </row>
    <row r="5837" spans="1:1" x14ac:dyDescent="0.25">
      <c r="A5837" s="19" t="s">
        <v>8391</v>
      </c>
    </row>
    <row r="5838" spans="1:1" x14ac:dyDescent="0.25">
      <c r="A5838" s="19" t="s">
        <v>8392</v>
      </c>
    </row>
    <row r="5839" spans="1:1" x14ac:dyDescent="0.25">
      <c r="A5839" s="19" t="s">
        <v>8393</v>
      </c>
    </row>
    <row r="5840" spans="1:1" x14ac:dyDescent="0.25">
      <c r="A5840" s="19" t="s">
        <v>8394</v>
      </c>
    </row>
    <row r="5841" spans="1:1" x14ac:dyDescent="0.25">
      <c r="A5841" s="19" t="s">
        <v>8395</v>
      </c>
    </row>
    <row r="5842" spans="1:1" x14ac:dyDescent="0.25">
      <c r="A5842" s="19" t="s">
        <v>8396</v>
      </c>
    </row>
    <row r="5843" spans="1:1" x14ac:dyDescent="0.25">
      <c r="A5843" s="19" t="s">
        <v>8397</v>
      </c>
    </row>
    <row r="5844" spans="1:1" x14ac:dyDescent="0.25">
      <c r="A5844" s="19" t="s">
        <v>8398</v>
      </c>
    </row>
    <row r="5845" spans="1:1" x14ac:dyDescent="0.25">
      <c r="A5845" s="19" t="s">
        <v>8399</v>
      </c>
    </row>
    <row r="5846" spans="1:1" x14ac:dyDescent="0.25">
      <c r="A5846" s="19" t="s">
        <v>8400</v>
      </c>
    </row>
    <row r="5847" spans="1:1" x14ac:dyDescent="0.25">
      <c r="A5847" s="19" t="s">
        <v>8401</v>
      </c>
    </row>
    <row r="5848" spans="1:1" x14ac:dyDescent="0.25">
      <c r="A5848" s="19" t="s">
        <v>8402</v>
      </c>
    </row>
    <row r="5849" spans="1:1" x14ac:dyDescent="0.25">
      <c r="A5849" s="19" t="s">
        <v>8403</v>
      </c>
    </row>
    <row r="5850" spans="1:1" x14ac:dyDescent="0.25">
      <c r="A5850" s="19" t="s">
        <v>8404</v>
      </c>
    </row>
    <row r="5851" spans="1:1" x14ac:dyDescent="0.25">
      <c r="A5851" s="19" t="s">
        <v>8405</v>
      </c>
    </row>
    <row r="5852" spans="1:1" x14ac:dyDescent="0.25">
      <c r="A5852" s="19" t="s">
        <v>8406</v>
      </c>
    </row>
    <row r="5853" spans="1:1" x14ac:dyDescent="0.25">
      <c r="A5853" s="19" t="s">
        <v>8407</v>
      </c>
    </row>
    <row r="5854" spans="1:1" x14ac:dyDescent="0.25">
      <c r="A5854" s="19" t="s">
        <v>8408</v>
      </c>
    </row>
    <row r="5855" spans="1:1" x14ac:dyDescent="0.25">
      <c r="A5855" s="19" t="s">
        <v>8409</v>
      </c>
    </row>
    <row r="5856" spans="1:1" x14ac:dyDescent="0.25">
      <c r="A5856" s="19" t="s">
        <v>8410</v>
      </c>
    </row>
    <row r="5857" spans="1:1" x14ac:dyDescent="0.25">
      <c r="A5857" s="19" t="s">
        <v>8411</v>
      </c>
    </row>
    <row r="5858" spans="1:1" x14ac:dyDescent="0.25">
      <c r="A5858" s="19" t="s">
        <v>8412</v>
      </c>
    </row>
    <row r="5859" spans="1:1" x14ac:dyDescent="0.25">
      <c r="A5859" s="19" t="s">
        <v>8413</v>
      </c>
    </row>
    <row r="5860" spans="1:1" x14ac:dyDescent="0.25">
      <c r="A5860" s="19" t="s">
        <v>8414</v>
      </c>
    </row>
    <row r="5861" spans="1:1" x14ac:dyDescent="0.25">
      <c r="A5861" s="19" t="s">
        <v>8415</v>
      </c>
    </row>
    <row r="5862" spans="1:1" x14ac:dyDescent="0.25">
      <c r="A5862" s="19" t="s">
        <v>8416</v>
      </c>
    </row>
    <row r="5863" spans="1:1" x14ac:dyDescent="0.25">
      <c r="A5863" s="19" t="s">
        <v>8417</v>
      </c>
    </row>
    <row r="5864" spans="1:1" x14ac:dyDescent="0.25">
      <c r="A5864" s="19" t="s">
        <v>8418</v>
      </c>
    </row>
    <row r="5865" spans="1:1" x14ac:dyDescent="0.25">
      <c r="A5865" s="19" t="s">
        <v>8419</v>
      </c>
    </row>
    <row r="5866" spans="1:1" x14ac:dyDescent="0.25">
      <c r="A5866" s="19" t="s">
        <v>8420</v>
      </c>
    </row>
    <row r="5867" spans="1:1" x14ac:dyDescent="0.25">
      <c r="A5867" s="19" t="s">
        <v>8421</v>
      </c>
    </row>
    <row r="5868" spans="1:1" x14ac:dyDescent="0.25">
      <c r="A5868" s="19" t="s">
        <v>8422</v>
      </c>
    </row>
    <row r="5869" spans="1:1" x14ac:dyDescent="0.25">
      <c r="A5869" s="19" t="s">
        <v>8423</v>
      </c>
    </row>
    <row r="5870" spans="1:1" x14ac:dyDescent="0.25">
      <c r="A5870" s="19" t="s">
        <v>8424</v>
      </c>
    </row>
    <row r="5871" spans="1:1" x14ac:dyDescent="0.25">
      <c r="A5871" s="19" t="s">
        <v>8425</v>
      </c>
    </row>
    <row r="5872" spans="1:1" x14ac:dyDescent="0.25">
      <c r="A5872" s="19" t="s">
        <v>8426</v>
      </c>
    </row>
    <row r="5873" spans="1:1" x14ac:dyDescent="0.25">
      <c r="A5873" s="19" t="s">
        <v>8427</v>
      </c>
    </row>
    <row r="5874" spans="1:1" x14ac:dyDescent="0.25">
      <c r="A5874" s="19" t="s">
        <v>8428</v>
      </c>
    </row>
    <row r="5875" spans="1:1" x14ac:dyDescent="0.25">
      <c r="A5875" s="19" t="s">
        <v>8429</v>
      </c>
    </row>
    <row r="5876" spans="1:1" x14ac:dyDescent="0.25">
      <c r="A5876" s="19" t="s">
        <v>8430</v>
      </c>
    </row>
    <row r="5877" spans="1:1" x14ac:dyDescent="0.25">
      <c r="A5877" s="19" t="s">
        <v>8431</v>
      </c>
    </row>
    <row r="5878" spans="1:1" x14ac:dyDescent="0.25">
      <c r="A5878" s="19" t="s">
        <v>8432</v>
      </c>
    </row>
    <row r="5879" spans="1:1" x14ac:dyDescent="0.25">
      <c r="A5879" s="19" t="s">
        <v>8433</v>
      </c>
    </row>
    <row r="5880" spans="1:1" x14ac:dyDescent="0.25">
      <c r="A5880" s="19" t="s">
        <v>8434</v>
      </c>
    </row>
    <row r="5881" spans="1:1" x14ac:dyDescent="0.25">
      <c r="A5881" s="19" t="s">
        <v>8435</v>
      </c>
    </row>
    <row r="5882" spans="1:1" x14ac:dyDescent="0.25">
      <c r="A5882" s="19" t="s">
        <v>8436</v>
      </c>
    </row>
    <row r="5883" spans="1:1" x14ac:dyDescent="0.25">
      <c r="A5883" s="19" t="s">
        <v>8437</v>
      </c>
    </row>
    <row r="5884" spans="1:1" x14ac:dyDescent="0.25">
      <c r="A5884" s="19" t="s">
        <v>8438</v>
      </c>
    </row>
    <row r="5885" spans="1:1" x14ac:dyDescent="0.25">
      <c r="A5885" s="19" t="s">
        <v>8439</v>
      </c>
    </row>
    <row r="5886" spans="1:1" x14ac:dyDescent="0.25">
      <c r="A5886" s="19" t="s">
        <v>8440</v>
      </c>
    </row>
    <row r="5887" spans="1:1" x14ac:dyDescent="0.25">
      <c r="A5887" s="19" t="s">
        <v>8441</v>
      </c>
    </row>
    <row r="5888" spans="1:1" x14ac:dyDescent="0.25">
      <c r="A5888" s="19" t="s">
        <v>8442</v>
      </c>
    </row>
    <row r="5889" spans="1:1" x14ac:dyDescent="0.25">
      <c r="A5889" s="19" t="s">
        <v>8443</v>
      </c>
    </row>
    <row r="5890" spans="1:1" x14ac:dyDescent="0.25">
      <c r="A5890" s="19" t="s">
        <v>8444</v>
      </c>
    </row>
    <row r="5891" spans="1:1" x14ac:dyDescent="0.25">
      <c r="A5891" s="19" t="s">
        <v>8445</v>
      </c>
    </row>
    <row r="5892" spans="1:1" x14ac:dyDescent="0.25">
      <c r="A5892" s="19" t="s">
        <v>8446</v>
      </c>
    </row>
    <row r="5893" spans="1:1" x14ac:dyDescent="0.25">
      <c r="A5893" s="19" t="s">
        <v>8447</v>
      </c>
    </row>
    <row r="5894" spans="1:1" x14ac:dyDescent="0.25">
      <c r="A5894" s="19" t="s">
        <v>8448</v>
      </c>
    </row>
    <row r="5895" spans="1:1" x14ac:dyDescent="0.25">
      <c r="A5895" s="19" t="s">
        <v>8449</v>
      </c>
    </row>
    <row r="5896" spans="1:1" x14ac:dyDescent="0.25">
      <c r="A5896" s="19" t="s">
        <v>8450</v>
      </c>
    </row>
    <row r="5897" spans="1:1" x14ac:dyDescent="0.25">
      <c r="A5897" s="19" t="s">
        <v>8451</v>
      </c>
    </row>
    <row r="5898" spans="1:1" x14ac:dyDescent="0.25">
      <c r="A5898" s="19" t="s">
        <v>8452</v>
      </c>
    </row>
    <row r="5899" spans="1:1" x14ac:dyDescent="0.25">
      <c r="A5899" s="19" t="s">
        <v>8453</v>
      </c>
    </row>
    <row r="5900" spans="1:1" x14ac:dyDescent="0.25">
      <c r="A5900" s="19" t="s">
        <v>8454</v>
      </c>
    </row>
    <row r="5901" spans="1:1" x14ac:dyDescent="0.25">
      <c r="A5901" s="19" t="s">
        <v>8455</v>
      </c>
    </row>
    <row r="5902" spans="1:1" x14ac:dyDescent="0.25">
      <c r="A5902" s="19" t="s">
        <v>8456</v>
      </c>
    </row>
    <row r="5903" spans="1:1" x14ac:dyDescent="0.25">
      <c r="A5903" s="19" t="s">
        <v>8457</v>
      </c>
    </row>
    <row r="5904" spans="1:1" x14ac:dyDescent="0.25">
      <c r="A5904" s="19" t="s">
        <v>8458</v>
      </c>
    </row>
    <row r="5905" spans="1:1" x14ac:dyDescent="0.25">
      <c r="A5905" s="19" t="s">
        <v>8459</v>
      </c>
    </row>
    <row r="5906" spans="1:1" x14ac:dyDescent="0.25">
      <c r="A5906" s="19" t="s">
        <v>8460</v>
      </c>
    </row>
    <row r="5907" spans="1:1" x14ac:dyDescent="0.25">
      <c r="A5907" s="19" t="s">
        <v>8461</v>
      </c>
    </row>
    <row r="5908" spans="1:1" x14ac:dyDescent="0.25">
      <c r="A5908" s="19" t="s">
        <v>8462</v>
      </c>
    </row>
    <row r="5909" spans="1:1" x14ac:dyDescent="0.25">
      <c r="A5909" s="19" t="s">
        <v>8463</v>
      </c>
    </row>
    <row r="5910" spans="1:1" x14ac:dyDescent="0.25">
      <c r="A5910" s="19" t="s">
        <v>8464</v>
      </c>
    </row>
    <row r="5911" spans="1:1" x14ac:dyDescent="0.25">
      <c r="A5911" s="19" t="s">
        <v>8465</v>
      </c>
    </row>
    <row r="5912" spans="1:1" x14ac:dyDescent="0.25">
      <c r="A5912" s="19" t="s">
        <v>8466</v>
      </c>
    </row>
    <row r="5913" spans="1:1" x14ac:dyDescent="0.25">
      <c r="A5913" s="19" t="s">
        <v>8467</v>
      </c>
    </row>
    <row r="5914" spans="1:1" x14ac:dyDescent="0.25">
      <c r="A5914" s="19" t="s">
        <v>8468</v>
      </c>
    </row>
    <row r="5915" spans="1:1" x14ac:dyDescent="0.25">
      <c r="A5915" s="19" t="s">
        <v>8469</v>
      </c>
    </row>
    <row r="5916" spans="1:1" x14ac:dyDescent="0.25">
      <c r="A5916" s="19" t="s">
        <v>8470</v>
      </c>
    </row>
    <row r="5917" spans="1:1" x14ac:dyDescent="0.25">
      <c r="A5917" s="19" t="s">
        <v>8471</v>
      </c>
    </row>
    <row r="5918" spans="1:1" x14ac:dyDescent="0.25">
      <c r="A5918" s="19" t="s">
        <v>8472</v>
      </c>
    </row>
    <row r="5919" spans="1:1" x14ac:dyDescent="0.25">
      <c r="A5919" s="19" t="s">
        <v>8473</v>
      </c>
    </row>
    <row r="5920" spans="1:1" x14ac:dyDescent="0.25">
      <c r="A5920" s="19" t="s">
        <v>8474</v>
      </c>
    </row>
    <row r="5921" spans="1:1" x14ac:dyDescent="0.25">
      <c r="A5921" s="19" t="s">
        <v>8475</v>
      </c>
    </row>
    <row r="5922" spans="1:1" x14ac:dyDescent="0.25">
      <c r="A5922" s="19" t="s">
        <v>8476</v>
      </c>
    </row>
    <row r="5923" spans="1:1" x14ac:dyDescent="0.25">
      <c r="A5923" s="19" t="s">
        <v>8477</v>
      </c>
    </row>
    <row r="5924" spans="1:1" x14ac:dyDescent="0.25">
      <c r="A5924" s="19" t="s">
        <v>8478</v>
      </c>
    </row>
    <row r="5925" spans="1:1" x14ac:dyDescent="0.25">
      <c r="A5925" s="19" t="s">
        <v>8479</v>
      </c>
    </row>
    <row r="5926" spans="1:1" x14ac:dyDescent="0.25">
      <c r="A5926" s="19" t="s">
        <v>8480</v>
      </c>
    </row>
    <row r="5927" spans="1:1" x14ac:dyDescent="0.25">
      <c r="A5927" s="19" t="s">
        <v>8481</v>
      </c>
    </row>
    <row r="5928" spans="1:1" x14ac:dyDescent="0.25">
      <c r="A5928" s="19" t="s">
        <v>8482</v>
      </c>
    </row>
    <row r="5929" spans="1:1" x14ac:dyDescent="0.25">
      <c r="A5929" s="19" t="s">
        <v>8483</v>
      </c>
    </row>
    <row r="5930" spans="1:1" x14ac:dyDescent="0.25">
      <c r="A5930" s="19" t="s">
        <v>8484</v>
      </c>
    </row>
    <row r="5931" spans="1:1" x14ac:dyDescent="0.25">
      <c r="A5931" s="19" t="s">
        <v>8485</v>
      </c>
    </row>
    <row r="5932" spans="1:1" x14ac:dyDescent="0.25">
      <c r="A5932" s="19" t="s">
        <v>8486</v>
      </c>
    </row>
    <row r="5933" spans="1:1" x14ac:dyDescent="0.25">
      <c r="A5933" s="19" t="s">
        <v>8487</v>
      </c>
    </row>
    <row r="5934" spans="1:1" x14ac:dyDescent="0.25">
      <c r="A5934" s="19" t="s">
        <v>8488</v>
      </c>
    </row>
    <row r="5935" spans="1:1" x14ac:dyDescent="0.25">
      <c r="A5935" s="19" t="s">
        <v>8489</v>
      </c>
    </row>
    <row r="5936" spans="1:1" x14ac:dyDescent="0.25">
      <c r="A5936" s="19" t="s">
        <v>8490</v>
      </c>
    </row>
    <row r="5937" spans="1:1" x14ac:dyDescent="0.25">
      <c r="A5937" s="19" t="s">
        <v>8491</v>
      </c>
    </row>
    <row r="5938" spans="1:1" x14ac:dyDescent="0.25">
      <c r="A5938" s="19" t="s">
        <v>8492</v>
      </c>
    </row>
    <row r="5939" spans="1:1" x14ac:dyDescent="0.25">
      <c r="A5939" s="19" t="s">
        <v>8493</v>
      </c>
    </row>
    <row r="5940" spans="1:1" x14ac:dyDescent="0.25">
      <c r="A5940" s="19" t="s">
        <v>8494</v>
      </c>
    </row>
    <row r="5941" spans="1:1" x14ac:dyDescent="0.25">
      <c r="A5941" s="19" t="s">
        <v>8495</v>
      </c>
    </row>
    <row r="5942" spans="1:1" x14ac:dyDescent="0.25">
      <c r="A5942" s="19" t="s">
        <v>8496</v>
      </c>
    </row>
    <row r="5943" spans="1:1" x14ac:dyDescent="0.25">
      <c r="A5943" s="19" t="s">
        <v>8497</v>
      </c>
    </row>
    <row r="5944" spans="1:1" x14ac:dyDescent="0.25">
      <c r="A5944" s="19" t="s">
        <v>8498</v>
      </c>
    </row>
    <row r="5945" spans="1:1" x14ac:dyDescent="0.25">
      <c r="A5945" s="19" t="s">
        <v>8499</v>
      </c>
    </row>
    <row r="5946" spans="1:1" x14ac:dyDescent="0.25">
      <c r="A5946" s="19" t="s">
        <v>8500</v>
      </c>
    </row>
    <row r="5947" spans="1:1" x14ac:dyDescent="0.25">
      <c r="A5947" s="19" t="s">
        <v>8501</v>
      </c>
    </row>
    <row r="5948" spans="1:1" x14ac:dyDescent="0.25">
      <c r="A5948" s="19" t="s">
        <v>8502</v>
      </c>
    </row>
    <row r="5949" spans="1:1" x14ac:dyDescent="0.25">
      <c r="A5949" s="19" t="s">
        <v>8503</v>
      </c>
    </row>
    <row r="5950" spans="1:1" x14ac:dyDescent="0.25">
      <c r="A5950" s="19" t="s">
        <v>8504</v>
      </c>
    </row>
    <row r="5951" spans="1:1" x14ac:dyDescent="0.25">
      <c r="A5951" s="19" t="s">
        <v>8505</v>
      </c>
    </row>
    <row r="5952" spans="1:1" x14ac:dyDescent="0.25">
      <c r="A5952" s="19" t="s">
        <v>8506</v>
      </c>
    </row>
    <row r="5953" spans="1:1" x14ac:dyDescent="0.25">
      <c r="A5953" s="19" t="s">
        <v>8507</v>
      </c>
    </row>
    <row r="5954" spans="1:1" x14ac:dyDescent="0.25">
      <c r="A5954" s="19" t="s">
        <v>8508</v>
      </c>
    </row>
    <row r="5955" spans="1:1" x14ac:dyDescent="0.25">
      <c r="A5955" s="19" t="s">
        <v>8509</v>
      </c>
    </row>
    <row r="5956" spans="1:1" x14ac:dyDescent="0.25">
      <c r="A5956" s="19" t="s">
        <v>8510</v>
      </c>
    </row>
    <row r="5957" spans="1:1" x14ac:dyDescent="0.25">
      <c r="A5957" s="19" t="s">
        <v>8511</v>
      </c>
    </row>
    <row r="5958" spans="1:1" x14ac:dyDescent="0.25">
      <c r="A5958" s="19" t="s">
        <v>8512</v>
      </c>
    </row>
    <row r="5959" spans="1:1" x14ac:dyDescent="0.25">
      <c r="A5959" s="19" t="s">
        <v>8513</v>
      </c>
    </row>
    <row r="5960" spans="1:1" x14ac:dyDescent="0.25">
      <c r="A5960" s="19" t="s">
        <v>8514</v>
      </c>
    </row>
    <row r="5961" spans="1:1" x14ac:dyDescent="0.25">
      <c r="A5961" s="19" t="s">
        <v>8515</v>
      </c>
    </row>
    <row r="5962" spans="1:1" x14ac:dyDescent="0.25">
      <c r="A5962" s="19" t="s">
        <v>8516</v>
      </c>
    </row>
    <row r="5963" spans="1:1" x14ac:dyDescent="0.25">
      <c r="A5963" s="19" t="s">
        <v>8517</v>
      </c>
    </row>
    <row r="5964" spans="1:1" x14ac:dyDescent="0.25">
      <c r="A5964" s="19" t="s">
        <v>8518</v>
      </c>
    </row>
    <row r="5965" spans="1:1" x14ac:dyDescent="0.25">
      <c r="A5965" s="19" t="s">
        <v>8519</v>
      </c>
    </row>
    <row r="5966" spans="1:1" x14ac:dyDescent="0.25">
      <c r="A5966" s="19" t="s">
        <v>8520</v>
      </c>
    </row>
    <row r="5967" spans="1:1" x14ac:dyDescent="0.25">
      <c r="A5967" s="19" t="s">
        <v>8521</v>
      </c>
    </row>
    <row r="5968" spans="1:1" x14ac:dyDescent="0.25">
      <c r="A5968" s="19" t="s">
        <v>8522</v>
      </c>
    </row>
    <row r="5969" spans="1:1" x14ac:dyDescent="0.25">
      <c r="A5969" s="19" t="s">
        <v>8523</v>
      </c>
    </row>
    <row r="5970" spans="1:1" x14ac:dyDescent="0.25">
      <c r="A5970" s="19" t="s">
        <v>8524</v>
      </c>
    </row>
    <row r="5971" spans="1:1" x14ac:dyDescent="0.25">
      <c r="A5971" s="19" t="s">
        <v>8525</v>
      </c>
    </row>
    <row r="5972" spans="1:1" x14ac:dyDescent="0.25">
      <c r="A5972" s="19" t="s">
        <v>8525</v>
      </c>
    </row>
    <row r="5973" spans="1:1" x14ac:dyDescent="0.25">
      <c r="A5973" s="19" t="s">
        <v>8526</v>
      </c>
    </row>
    <row r="5974" spans="1:1" x14ac:dyDescent="0.25">
      <c r="A5974" s="19" t="s">
        <v>8527</v>
      </c>
    </row>
    <row r="5975" spans="1:1" x14ac:dyDescent="0.25">
      <c r="A5975" s="19" t="s">
        <v>8528</v>
      </c>
    </row>
    <row r="5976" spans="1:1" x14ac:dyDescent="0.25">
      <c r="A5976" s="19" t="s">
        <v>8529</v>
      </c>
    </row>
    <row r="5977" spans="1:1" x14ac:dyDescent="0.25">
      <c r="A5977" s="19" t="s">
        <v>8530</v>
      </c>
    </row>
    <row r="5978" spans="1:1" x14ac:dyDescent="0.25">
      <c r="A5978" s="19" t="s">
        <v>8531</v>
      </c>
    </row>
    <row r="5979" spans="1:1" x14ac:dyDescent="0.25">
      <c r="A5979" s="19" t="s">
        <v>8532</v>
      </c>
    </row>
    <row r="5980" spans="1:1" x14ac:dyDescent="0.25">
      <c r="A5980" s="19" t="s">
        <v>8533</v>
      </c>
    </row>
    <row r="5981" spans="1:1" x14ac:dyDescent="0.25">
      <c r="A5981" s="19" t="s">
        <v>8534</v>
      </c>
    </row>
    <row r="5982" spans="1:1" x14ac:dyDescent="0.25">
      <c r="A5982" s="19" t="s">
        <v>8535</v>
      </c>
    </row>
    <row r="5983" spans="1:1" x14ac:dyDescent="0.25">
      <c r="A5983" s="19" t="s">
        <v>8536</v>
      </c>
    </row>
    <row r="5984" spans="1:1" x14ac:dyDescent="0.25">
      <c r="A5984" s="19" t="s">
        <v>8537</v>
      </c>
    </row>
    <row r="5985" spans="1:1" x14ac:dyDescent="0.25">
      <c r="A5985" s="19" t="s">
        <v>8538</v>
      </c>
    </row>
    <row r="5986" spans="1:1" x14ac:dyDescent="0.25">
      <c r="A5986" s="19" t="s">
        <v>8539</v>
      </c>
    </row>
    <row r="5987" spans="1:1" x14ac:dyDescent="0.25">
      <c r="A5987" s="19" t="s">
        <v>8540</v>
      </c>
    </row>
    <row r="5988" spans="1:1" x14ac:dyDescent="0.25">
      <c r="A5988" s="19" t="s">
        <v>8541</v>
      </c>
    </row>
    <row r="5989" spans="1:1" x14ac:dyDescent="0.25">
      <c r="A5989" s="19" t="s">
        <v>8542</v>
      </c>
    </row>
    <row r="5990" spans="1:1" x14ac:dyDescent="0.25">
      <c r="A5990" s="19" t="s">
        <v>8543</v>
      </c>
    </row>
    <row r="5991" spans="1:1" x14ac:dyDescent="0.25">
      <c r="A5991" s="19" t="s">
        <v>8544</v>
      </c>
    </row>
    <row r="5992" spans="1:1" x14ac:dyDescent="0.25">
      <c r="A5992" s="19" t="s">
        <v>8545</v>
      </c>
    </row>
    <row r="5993" spans="1:1" x14ac:dyDescent="0.25">
      <c r="A5993" s="19" t="s">
        <v>8546</v>
      </c>
    </row>
    <row r="5994" spans="1:1" x14ac:dyDescent="0.25">
      <c r="A5994" s="19" t="s">
        <v>8547</v>
      </c>
    </row>
    <row r="5995" spans="1:1" x14ac:dyDescent="0.25">
      <c r="A5995" s="19" t="s">
        <v>8548</v>
      </c>
    </row>
    <row r="5996" spans="1:1" x14ac:dyDescent="0.25">
      <c r="A5996" s="19" t="s">
        <v>8549</v>
      </c>
    </row>
    <row r="5997" spans="1:1" x14ac:dyDescent="0.25">
      <c r="A5997" s="19" t="s">
        <v>8550</v>
      </c>
    </row>
    <row r="5998" spans="1:1" x14ac:dyDescent="0.25">
      <c r="A5998" s="19" t="s">
        <v>8551</v>
      </c>
    </row>
    <row r="5999" spans="1:1" x14ac:dyDescent="0.25">
      <c r="A5999" s="19" t="s">
        <v>8552</v>
      </c>
    </row>
    <row r="6000" spans="1:1" x14ac:dyDescent="0.25">
      <c r="A6000" s="19" t="s">
        <v>8553</v>
      </c>
    </row>
    <row r="6001" spans="1:1" x14ac:dyDescent="0.25">
      <c r="A6001" s="19" t="s">
        <v>8554</v>
      </c>
    </row>
    <row r="6002" spans="1:1" x14ac:dyDescent="0.25">
      <c r="A6002" s="19" t="s">
        <v>8555</v>
      </c>
    </row>
    <row r="6003" spans="1:1" x14ac:dyDescent="0.25">
      <c r="A6003" s="19" t="s">
        <v>8556</v>
      </c>
    </row>
    <row r="6004" spans="1:1" x14ac:dyDescent="0.25">
      <c r="A6004" s="19" t="s">
        <v>8557</v>
      </c>
    </row>
    <row r="6005" spans="1:1" x14ac:dyDescent="0.25">
      <c r="A6005" s="19" t="s">
        <v>8558</v>
      </c>
    </row>
    <row r="6006" spans="1:1" x14ac:dyDescent="0.25">
      <c r="A6006" s="19" t="s">
        <v>8559</v>
      </c>
    </row>
    <row r="6007" spans="1:1" x14ac:dyDescent="0.25">
      <c r="A6007" s="19" t="s">
        <v>8560</v>
      </c>
    </row>
    <row r="6008" spans="1:1" x14ac:dyDescent="0.25">
      <c r="A6008" s="19" t="s">
        <v>8561</v>
      </c>
    </row>
    <row r="6009" spans="1:1" x14ac:dyDescent="0.25">
      <c r="A6009" s="19" t="s">
        <v>8562</v>
      </c>
    </row>
    <row r="6010" spans="1:1" x14ac:dyDescent="0.25">
      <c r="A6010" s="19" t="s">
        <v>8563</v>
      </c>
    </row>
    <row r="6011" spans="1:1" x14ac:dyDescent="0.25">
      <c r="A6011" s="19" t="s">
        <v>8564</v>
      </c>
    </row>
    <row r="6012" spans="1:1" x14ac:dyDescent="0.25">
      <c r="A6012" s="19" t="s">
        <v>8565</v>
      </c>
    </row>
    <row r="6013" spans="1:1" x14ac:dyDescent="0.25">
      <c r="A6013" s="19" t="s">
        <v>8566</v>
      </c>
    </row>
    <row r="6014" spans="1:1" x14ac:dyDescent="0.25">
      <c r="A6014" s="19" t="s">
        <v>8567</v>
      </c>
    </row>
    <row r="6015" spans="1:1" x14ac:dyDescent="0.25">
      <c r="A6015" s="19" t="s">
        <v>8568</v>
      </c>
    </row>
    <row r="6016" spans="1:1" x14ac:dyDescent="0.25">
      <c r="A6016" s="19" t="s">
        <v>8569</v>
      </c>
    </row>
    <row r="6017" spans="1:1" x14ac:dyDescent="0.25">
      <c r="A6017" s="19" t="s">
        <v>8570</v>
      </c>
    </row>
    <row r="6018" spans="1:1" x14ac:dyDescent="0.25">
      <c r="A6018" s="19" t="s">
        <v>8571</v>
      </c>
    </row>
    <row r="6019" spans="1:1" x14ac:dyDescent="0.25">
      <c r="A6019" s="19" t="s">
        <v>8572</v>
      </c>
    </row>
    <row r="6020" spans="1:1" x14ac:dyDescent="0.25">
      <c r="A6020" s="19" t="s">
        <v>8573</v>
      </c>
    </row>
    <row r="6021" spans="1:1" x14ac:dyDescent="0.25">
      <c r="A6021" s="19" t="s">
        <v>8574</v>
      </c>
    </row>
    <row r="6022" spans="1:1" x14ac:dyDescent="0.25">
      <c r="A6022" s="19" t="s">
        <v>8575</v>
      </c>
    </row>
    <row r="6023" spans="1:1" x14ac:dyDescent="0.25">
      <c r="A6023" s="19" t="s">
        <v>8576</v>
      </c>
    </row>
    <row r="6024" spans="1:1" x14ac:dyDescent="0.25">
      <c r="A6024" s="19" t="s">
        <v>8577</v>
      </c>
    </row>
    <row r="6025" spans="1:1" x14ac:dyDescent="0.25">
      <c r="A6025" s="19" t="s">
        <v>8578</v>
      </c>
    </row>
    <row r="6026" spans="1:1" x14ac:dyDescent="0.25">
      <c r="A6026" s="19" t="s">
        <v>8579</v>
      </c>
    </row>
    <row r="6027" spans="1:1" x14ac:dyDescent="0.25">
      <c r="A6027" s="19" t="s">
        <v>8580</v>
      </c>
    </row>
    <row r="6028" spans="1:1" x14ac:dyDescent="0.25">
      <c r="A6028" s="19" t="s">
        <v>8581</v>
      </c>
    </row>
    <row r="6029" spans="1:1" x14ac:dyDescent="0.25">
      <c r="A6029" s="19" t="s">
        <v>8582</v>
      </c>
    </row>
    <row r="6030" spans="1:1" x14ac:dyDescent="0.25">
      <c r="A6030" s="19" t="s">
        <v>8583</v>
      </c>
    </row>
    <row r="6031" spans="1:1" x14ac:dyDescent="0.25">
      <c r="A6031" s="19" t="s">
        <v>8584</v>
      </c>
    </row>
    <row r="6032" spans="1:1" x14ac:dyDescent="0.25">
      <c r="A6032" s="19" t="s">
        <v>8585</v>
      </c>
    </row>
    <row r="6033" spans="1:1" x14ac:dyDescent="0.25">
      <c r="A6033" s="19" t="s">
        <v>8586</v>
      </c>
    </row>
    <row r="6034" spans="1:1" x14ac:dyDescent="0.25">
      <c r="A6034" s="19" t="s">
        <v>8587</v>
      </c>
    </row>
    <row r="6035" spans="1:1" x14ac:dyDescent="0.25">
      <c r="A6035" s="19" t="s">
        <v>8588</v>
      </c>
    </row>
    <row r="6036" spans="1:1" x14ac:dyDescent="0.25">
      <c r="A6036" s="19" t="s">
        <v>8589</v>
      </c>
    </row>
    <row r="6037" spans="1:1" x14ac:dyDescent="0.25">
      <c r="A6037" s="19" t="s">
        <v>8590</v>
      </c>
    </row>
    <row r="6038" spans="1:1" x14ac:dyDescent="0.25">
      <c r="A6038" s="19" t="s">
        <v>8591</v>
      </c>
    </row>
    <row r="6039" spans="1:1" x14ac:dyDescent="0.25">
      <c r="A6039" s="19" t="s">
        <v>8592</v>
      </c>
    </row>
    <row r="6040" spans="1:1" x14ac:dyDescent="0.25">
      <c r="A6040" s="19" t="s">
        <v>8593</v>
      </c>
    </row>
    <row r="6041" spans="1:1" x14ac:dyDescent="0.25">
      <c r="A6041" s="19" t="s">
        <v>8594</v>
      </c>
    </row>
    <row r="6042" spans="1:1" x14ac:dyDescent="0.25">
      <c r="A6042" s="19" t="s">
        <v>8595</v>
      </c>
    </row>
    <row r="6043" spans="1:1" x14ac:dyDescent="0.25">
      <c r="A6043" s="19" t="s">
        <v>8596</v>
      </c>
    </row>
    <row r="6044" spans="1:1" x14ac:dyDescent="0.25">
      <c r="A6044" s="19" t="s">
        <v>8597</v>
      </c>
    </row>
    <row r="6045" spans="1:1" x14ac:dyDescent="0.25">
      <c r="A6045" s="19" t="s">
        <v>8598</v>
      </c>
    </row>
    <row r="6046" spans="1:1" x14ac:dyDescent="0.25">
      <c r="A6046" s="19" t="s">
        <v>8599</v>
      </c>
    </row>
    <row r="6047" spans="1:1" x14ac:dyDescent="0.25">
      <c r="A6047" s="19" t="s">
        <v>8600</v>
      </c>
    </row>
    <row r="6048" spans="1:1" x14ac:dyDescent="0.25">
      <c r="A6048" s="19" t="s">
        <v>8601</v>
      </c>
    </row>
    <row r="6049" spans="1:1" x14ac:dyDescent="0.25">
      <c r="A6049" s="19" t="s">
        <v>8602</v>
      </c>
    </row>
    <row r="6050" spans="1:1" x14ac:dyDescent="0.25">
      <c r="A6050" s="19" t="s">
        <v>8603</v>
      </c>
    </row>
    <row r="6051" spans="1:1" x14ac:dyDescent="0.25">
      <c r="A6051" s="19" t="s">
        <v>8604</v>
      </c>
    </row>
    <row r="6052" spans="1:1" x14ac:dyDescent="0.25">
      <c r="A6052" s="19" t="s">
        <v>8605</v>
      </c>
    </row>
    <row r="6053" spans="1:1" x14ac:dyDescent="0.25">
      <c r="A6053" s="19" t="s">
        <v>8606</v>
      </c>
    </row>
    <row r="6054" spans="1:1" x14ac:dyDescent="0.25">
      <c r="A6054" s="19" t="s">
        <v>8607</v>
      </c>
    </row>
    <row r="6055" spans="1:1" x14ac:dyDescent="0.25">
      <c r="A6055" s="19" t="s">
        <v>8608</v>
      </c>
    </row>
    <row r="6056" spans="1:1" x14ac:dyDescent="0.25">
      <c r="A6056" s="19" t="s">
        <v>8609</v>
      </c>
    </row>
    <row r="6057" spans="1:1" x14ac:dyDescent="0.25">
      <c r="A6057" s="19" t="s">
        <v>8610</v>
      </c>
    </row>
    <row r="6058" spans="1:1" x14ac:dyDescent="0.25">
      <c r="A6058" s="19" t="s">
        <v>8611</v>
      </c>
    </row>
    <row r="6059" spans="1:1" x14ac:dyDescent="0.25">
      <c r="A6059" s="19" t="s">
        <v>8612</v>
      </c>
    </row>
    <row r="6060" spans="1:1" x14ac:dyDescent="0.25">
      <c r="A6060" s="19" t="s">
        <v>8613</v>
      </c>
    </row>
    <row r="6061" spans="1:1" x14ac:dyDescent="0.25">
      <c r="A6061" s="19" t="s">
        <v>8614</v>
      </c>
    </row>
    <row r="6062" spans="1:1" x14ac:dyDescent="0.25">
      <c r="A6062" s="19" t="s">
        <v>8615</v>
      </c>
    </row>
    <row r="6063" spans="1:1" x14ac:dyDescent="0.25">
      <c r="A6063" s="19" t="s">
        <v>8616</v>
      </c>
    </row>
    <row r="6064" spans="1:1" x14ac:dyDescent="0.25">
      <c r="A6064" s="19" t="s">
        <v>8617</v>
      </c>
    </row>
    <row r="6065" spans="1:1" x14ac:dyDescent="0.25">
      <c r="A6065" s="19" t="s">
        <v>8618</v>
      </c>
    </row>
    <row r="6066" spans="1:1" x14ac:dyDescent="0.25">
      <c r="A6066" s="19" t="s">
        <v>8619</v>
      </c>
    </row>
    <row r="6067" spans="1:1" x14ac:dyDescent="0.25">
      <c r="A6067" s="19" t="s">
        <v>8620</v>
      </c>
    </row>
    <row r="6068" spans="1:1" x14ac:dyDescent="0.25">
      <c r="A6068" s="19" t="s">
        <v>8621</v>
      </c>
    </row>
    <row r="6069" spans="1:1" x14ac:dyDescent="0.25">
      <c r="A6069" s="19" t="s">
        <v>8621</v>
      </c>
    </row>
    <row r="6070" spans="1:1" x14ac:dyDescent="0.25">
      <c r="A6070" s="19" t="s">
        <v>8622</v>
      </c>
    </row>
    <row r="6071" spans="1:1" x14ac:dyDescent="0.25">
      <c r="A6071" s="19" t="s">
        <v>8623</v>
      </c>
    </row>
    <row r="6072" spans="1:1" x14ac:dyDescent="0.25">
      <c r="A6072" s="19" t="s">
        <v>8624</v>
      </c>
    </row>
    <row r="6073" spans="1:1" x14ac:dyDescent="0.25">
      <c r="A6073" s="19" t="s">
        <v>8625</v>
      </c>
    </row>
    <row r="6074" spans="1:1" x14ac:dyDescent="0.25">
      <c r="A6074" s="19" t="s">
        <v>8626</v>
      </c>
    </row>
    <row r="6075" spans="1:1" x14ac:dyDescent="0.25">
      <c r="A6075" s="19" t="s">
        <v>8627</v>
      </c>
    </row>
    <row r="6076" spans="1:1" x14ac:dyDescent="0.25">
      <c r="A6076" s="19" t="s">
        <v>8628</v>
      </c>
    </row>
    <row r="6077" spans="1:1" x14ac:dyDescent="0.25">
      <c r="A6077" s="19" t="s">
        <v>8629</v>
      </c>
    </row>
    <row r="6078" spans="1:1" x14ac:dyDescent="0.25">
      <c r="A6078" s="19" t="s">
        <v>8630</v>
      </c>
    </row>
    <row r="6079" spans="1:1" x14ac:dyDescent="0.25">
      <c r="A6079" s="19" t="s">
        <v>8631</v>
      </c>
    </row>
    <row r="6080" spans="1:1" x14ac:dyDescent="0.25">
      <c r="A6080" s="19" t="s">
        <v>8632</v>
      </c>
    </row>
    <row r="6081" spans="1:1" x14ac:dyDescent="0.25">
      <c r="A6081" s="19" t="s">
        <v>8633</v>
      </c>
    </row>
    <row r="6082" spans="1:1" x14ac:dyDescent="0.25">
      <c r="A6082" s="19" t="s">
        <v>8634</v>
      </c>
    </row>
    <row r="6083" spans="1:1" x14ac:dyDescent="0.25">
      <c r="A6083" s="19" t="s">
        <v>8635</v>
      </c>
    </row>
    <row r="6084" spans="1:1" x14ac:dyDescent="0.25">
      <c r="A6084" s="19" t="s">
        <v>8636</v>
      </c>
    </row>
    <row r="6085" spans="1:1" x14ac:dyDescent="0.25">
      <c r="A6085" s="19" t="s">
        <v>8637</v>
      </c>
    </row>
    <row r="6086" spans="1:1" x14ac:dyDescent="0.25">
      <c r="A6086" s="19" t="s">
        <v>8638</v>
      </c>
    </row>
    <row r="6087" spans="1:1" x14ac:dyDescent="0.25">
      <c r="A6087" s="19" t="s">
        <v>8639</v>
      </c>
    </row>
    <row r="6088" spans="1:1" x14ac:dyDescent="0.25">
      <c r="A6088" s="19" t="s">
        <v>8640</v>
      </c>
    </row>
    <row r="6089" spans="1:1" x14ac:dyDescent="0.25">
      <c r="A6089" s="19" t="s">
        <v>8641</v>
      </c>
    </row>
    <row r="6090" spans="1:1" x14ac:dyDescent="0.25">
      <c r="A6090" s="19" t="s">
        <v>8642</v>
      </c>
    </row>
    <row r="6091" spans="1:1" x14ac:dyDescent="0.25">
      <c r="A6091" s="19" t="s">
        <v>8643</v>
      </c>
    </row>
    <row r="6092" spans="1:1" x14ac:dyDescent="0.25">
      <c r="A6092" s="19" t="s">
        <v>8644</v>
      </c>
    </row>
    <row r="6093" spans="1:1" x14ac:dyDescent="0.25">
      <c r="A6093" s="19" t="s">
        <v>8645</v>
      </c>
    </row>
    <row r="6094" spans="1:1" x14ac:dyDescent="0.25">
      <c r="A6094" s="19" t="s">
        <v>8646</v>
      </c>
    </row>
    <row r="6095" spans="1:1" x14ac:dyDescent="0.25">
      <c r="A6095" s="19" t="s">
        <v>8647</v>
      </c>
    </row>
    <row r="6096" spans="1:1" x14ac:dyDescent="0.25">
      <c r="A6096" s="19" t="s">
        <v>8648</v>
      </c>
    </row>
    <row r="6097" spans="1:1" x14ac:dyDescent="0.25">
      <c r="A6097" s="19" t="s">
        <v>8649</v>
      </c>
    </row>
    <row r="6098" spans="1:1" x14ac:dyDescent="0.25">
      <c r="A6098" s="19" t="s">
        <v>8650</v>
      </c>
    </row>
    <row r="6099" spans="1:1" x14ac:dyDescent="0.25">
      <c r="A6099" s="19" t="s">
        <v>8651</v>
      </c>
    </row>
    <row r="6100" spans="1:1" x14ac:dyDescent="0.25">
      <c r="A6100" s="19" t="s">
        <v>8652</v>
      </c>
    </row>
    <row r="6101" spans="1:1" x14ac:dyDescent="0.25">
      <c r="A6101" s="19" t="s">
        <v>8653</v>
      </c>
    </row>
    <row r="6102" spans="1:1" x14ac:dyDescent="0.25">
      <c r="A6102" s="19" t="s">
        <v>8654</v>
      </c>
    </row>
    <row r="6103" spans="1:1" x14ac:dyDescent="0.25">
      <c r="A6103" s="19" t="s">
        <v>8655</v>
      </c>
    </row>
    <row r="6104" spans="1:1" x14ac:dyDescent="0.25">
      <c r="A6104" s="19" t="s">
        <v>8656</v>
      </c>
    </row>
    <row r="6105" spans="1:1" x14ac:dyDescent="0.25">
      <c r="A6105" s="19" t="s">
        <v>8657</v>
      </c>
    </row>
    <row r="6106" spans="1:1" x14ac:dyDescent="0.25">
      <c r="A6106" s="19" t="s">
        <v>8657</v>
      </c>
    </row>
    <row r="6107" spans="1:1" x14ac:dyDescent="0.25">
      <c r="A6107" s="19" t="s">
        <v>8657</v>
      </c>
    </row>
    <row r="6108" spans="1:1" x14ac:dyDescent="0.25">
      <c r="A6108" s="19" t="s">
        <v>8658</v>
      </c>
    </row>
    <row r="6109" spans="1:1" x14ac:dyDescent="0.25">
      <c r="A6109" s="19" t="s">
        <v>8659</v>
      </c>
    </row>
    <row r="6110" spans="1:1" x14ac:dyDescent="0.25">
      <c r="A6110" s="19" t="s">
        <v>8660</v>
      </c>
    </row>
    <row r="6111" spans="1:1" x14ac:dyDescent="0.25">
      <c r="A6111" s="19" t="s">
        <v>8661</v>
      </c>
    </row>
    <row r="6112" spans="1:1" x14ac:dyDescent="0.25">
      <c r="A6112" s="19" t="s">
        <v>8662</v>
      </c>
    </row>
    <row r="6113" spans="1:1" x14ac:dyDescent="0.25">
      <c r="A6113" s="19" t="s">
        <v>8663</v>
      </c>
    </row>
    <row r="6114" spans="1:1" x14ac:dyDescent="0.25">
      <c r="A6114" s="19" t="s">
        <v>8664</v>
      </c>
    </row>
    <row r="6115" spans="1:1" x14ac:dyDescent="0.25">
      <c r="A6115" s="19" t="s">
        <v>8665</v>
      </c>
    </row>
    <row r="6116" spans="1:1" x14ac:dyDescent="0.25">
      <c r="A6116" s="19" t="s">
        <v>8665</v>
      </c>
    </row>
    <row r="6117" spans="1:1" x14ac:dyDescent="0.25">
      <c r="A6117" s="19" t="s">
        <v>8665</v>
      </c>
    </row>
    <row r="6118" spans="1:1" x14ac:dyDescent="0.25">
      <c r="A6118" s="19" t="s">
        <v>8666</v>
      </c>
    </row>
    <row r="6119" spans="1:1" x14ac:dyDescent="0.25">
      <c r="A6119" s="19" t="s">
        <v>8667</v>
      </c>
    </row>
    <row r="6120" spans="1:1" x14ac:dyDescent="0.25">
      <c r="A6120" s="19" t="s">
        <v>8668</v>
      </c>
    </row>
    <row r="6121" spans="1:1" x14ac:dyDescent="0.25">
      <c r="A6121" s="19" t="s">
        <v>8669</v>
      </c>
    </row>
    <row r="6122" spans="1:1" x14ac:dyDescent="0.25">
      <c r="A6122" s="19" t="s">
        <v>8670</v>
      </c>
    </row>
    <row r="6123" spans="1:1" x14ac:dyDescent="0.25">
      <c r="A6123" s="19" t="s">
        <v>8671</v>
      </c>
    </row>
    <row r="6124" spans="1:1" x14ac:dyDescent="0.25">
      <c r="A6124" s="19" t="s">
        <v>8672</v>
      </c>
    </row>
    <row r="6125" spans="1:1" x14ac:dyDescent="0.25">
      <c r="A6125" s="19" t="s">
        <v>8673</v>
      </c>
    </row>
    <row r="6126" spans="1:1" x14ac:dyDescent="0.25">
      <c r="A6126" s="19" t="s">
        <v>8674</v>
      </c>
    </row>
    <row r="6127" spans="1:1" x14ac:dyDescent="0.25">
      <c r="A6127" s="19" t="s">
        <v>8675</v>
      </c>
    </row>
    <row r="6128" spans="1:1" x14ac:dyDescent="0.25">
      <c r="A6128" s="19" t="s">
        <v>8676</v>
      </c>
    </row>
    <row r="6129" spans="1:1" x14ac:dyDescent="0.25">
      <c r="A6129" s="19" t="s">
        <v>8677</v>
      </c>
    </row>
    <row r="6130" spans="1:1" x14ac:dyDescent="0.25">
      <c r="A6130" s="19" t="s">
        <v>8678</v>
      </c>
    </row>
    <row r="6131" spans="1:1" x14ac:dyDescent="0.25">
      <c r="A6131" s="19" t="s">
        <v>8679</v>
      </c>
    </row>
    <row r="6132" spans="1:1" x14ac:dyDescent="0.25">
      <c r="A6132" s="19" t="s">
        <v>8680</v>
      </c>
    </row>
    <row r="6133" spans="1:1" x14ac:dyDescent="0.25">
      <c r="A6133" s="19" t="s">
        <v>8681</v>
      </c>
    </row>
    <row r="6134" spans="1:1" x14ac:dyDescent="0.25">
      <c r="A6134" s="19" t="s">
        <v>8682</v>
      </c>
    </row>
    <row r="6135" spans="1:1" x14ac:dyDescent="0.25">
      <c r="A6135" s="19" t="s">
        <v>8683</v>
      </c>
    </row>
    <row r="6136" spans="1:1" x14ac:dyDescent="0.25">
      <c r="A6136" s="19" t="s">
        <v>8684</v>
      </c>
    </row>
    <row r="6137" spans="1:1" x14ac:dyDescent="0.25">
      <c r="A6137" s="19" t="s">
        <v>8685</v>
      </c>
    </row>
    <row r="6138" spans="1:1" x14ac:dyDescent="0.25">
      <c r="A6138" s="19" t="s">
        <v>8686</v>
      </c>
    </row>
    <row r="6139" spans="1:1" x14ac:dyDescent="0.25">
      <c r="A6139" s="19" t="s">
        <v>8687</v>
      </c>
    </row>
    <row r="6140" spans="1:1" x14ac:dyDescent="0.25">
      <c r="A6140" s="19" t="s">
        <v>8688</v>
      </c>
    </row>
    <row r="6141" spans="1:1" x14ac:dyDescent="0.25">
      <c r="A6141" s="19" t="s">
        <v>8689</v>
      </c>
    </row>
    <row r="6142" spans="1:1" x14ac:dyDescent="0.25">
      <c r="A6142" s="19" t="s">
        <v>8690</v>
      </c>
    </row>
    <row r="6143" spans="1:1" x14ac:dyDescent="0.25">
      <c r="A6143" s="19" t="s">
        <v>8691</v>
      </c>
    </row>
    <row r="6144" spans="1:1" x14ac:dyDescent="0.25">
      <c r="A6144" s="19" t="s">
        <v>8692</v>
      </c>
    </row>
    <row r="6145" spans="1:1" x14ac:dyDescent="0.25">
      <c r="A6145" s="19" t="s">
        <v>8693</v>
      </c>
    </row>
    <row r="6146" spans="1:1" x14ac:dyDescent="0.25">
      <c r="A6146" s="19" t="s">
        <v>8694</v>
      </c>
    </row>
    <row r="6147" spans="1:1" x14ac:dyDescent="0.25">
      <c r="A6147" s="19" t="s">
        <v>8695</v>
      </c>
    </row>
    <row r="6148" spans="1:1" x14ac:dyDescent="0.25">
      <c r="A6148" s="19" t="s">
        <v>8696</v>
      </c>
    </row>
    <row r="6149" spans="1:1" x14ac:dyDescent="0.25">
      <c r="A6149" s="19" t="s">
        <v>8697</v>
      </c>
    </row>
    <row r="6150" spans="1:1" x14ac:dyDescent="0.25">
      <c r="A6150" s="19" t="s">
        <v>8698</v>
      </c>
    </row>
    <row r="6151" spans="1:1" x14ac:dyDescent="0.25">
      <c r="A6151" s="19" t="s">
        <v>8699</v>
      </c>
    </row>
    <row r="6152" spans="1:1" x14ac:dyDescent="0.25">
      <c r="A6152" s="19" t="s">
        <v>8700</v>
      </c>
    </row>
    <row r="6153" spans="1:1" x14ac:dyDescent="0.25">
      <c r="A6153" s="19" t="s">
        <v>8701</v>
      </c>
    </row>
    <row r="6154" spans="1:1" x14ac:dyDescent="0.25">
      <c r="A6154" s="19" t="s">
        <v>8702</v>
      </c>
    </row>
    <row r="6155" spans="1:1" x14ac:dyDescent="0.25">
      <c r="A6155" s="19" t="s">
        <v>8703</v>
      </c>
    </row>
    <row r="6156" spans="1:1" x14ac:dyDescent="0.25">
      <c r="A6156" s="19" t="s">
        <v>8704</v>
      </c>
    </row>
    <row r="6157" spans="1:1" x14ac:dyDescent="0.25">
      <c r="A6157" s="19" t="s">
        <v>8705</v>
      </c>
    </row>
    <row r="6158" spans="1:1" x14ac:dyDescent="0.25">
      <c r="A6158" s="19" t="s">
        <v>8706</v>
      </c>
    </row>
    <row r="6159" spans="1:1" x14ac:dyDescent="0.25">
      <c r="A6159" s="19" t="s">
        <v>8707</v>
      </c>
    </row>
    <row r="6160" spans="1:1" x14ac:dyDescent="0.25">
      <c r="A6160" s="19" t="s">
        <v>8708</v>
      </c>
    </row>
    <row r="6161" spans="1:1" x14ac:dyDescent="0.25">
      <c r="A6161" s="19" t="s">
        <v>8709</v>
      </c>
    </row>
    <row r="6162" spans="1:1" x14ac:dyDescent="0.25">
      <c r="A6162" s="19" t="s">
        <v>8710</v>
      </c>
    </row>
    <row r="6163" spans="1:1" x14ac:dyDescent="0.25">
      <c r="A6163" s="19" t="s">
        <v>8711</v>
      </c>
    </row>
    <row r="6164" spans="1:1" x14ac:dyDescent="0.25">
      <c r="A6164" s="19" t="s">
        <v>8712</v>
      </c>
    </row>
    <row r="6165" spans="1:1" x14ac:dyDescent="0.25">
      <c r="A6165" s="19" t="s">
        <v>8713</v>
      </c>
    </row>
    <row r="6166" spans="1:1" x14ac:dyDescent="0.25">
      <c r="A6166" s="19" t="s">
        <v>8714</v>
      </c>
    </row>
    <row r="6167" spans="1:1" x14ac:dyDescent="0.25">
      <c r="A6167" s="19" t="s">
        <v>8715</v>
      </c>
    </row>
    <row r="6168" spans="1:1" x14ac:dyDescent="0.25">
      <c r="A6168" s="19" t="s">
        <v>8716</v>
      </c>
    </row>
    <row r="6169" spans="1:1" x14ac:dyDescent="0.25">
      <c r="A6169" s="19" t="s">
        <v>8717</v>
      </c>
    </row>
    <row r="6170" spans="1:1" x14ac:dyDescent="0.25">
      <c r="A6170" s="19" t="s">
        <v>8718</v>
      </c>
    </row>
    <row r="6171" spans="1:1" x14ac:dyDescent="0.25">
      <c r="A6171" s="19" t="s">
        <v>8719</v>
      </c>
    </row>
    <row r="6172" spans="1:1" x14ac:dyDescent="0.25">
      <c r="A6172" s="19" t="s">
        <v>8720</v>
      </c>
    </row>
    <row r="6173" spans="1:1" x14ac:dyDescent="0.25">
      <c r="A6173" s="19" t="s">
        <v>8721</v>
      </c>
    </row>
    <row r="6174" spans="1:1" x14ac:dyDescent="0.25">
      <c r="A6174" s="19" t="s">
        <v>8722</v>
      </c>
    </row>
    <row r="6175" spans="1:1" x14ac:dyDescent="0.25">
      <c r="A6175" s="19" t="s">
        <v>8723</v>
      </c>
    </row>
    <row r="6176" spans="1:1" x14ac:dyDescent="0.25">
      <c r="A6176" s="19" t="s">
        <v>8724</v>
      </c>
    </row>
    <row r="6177" spans="1:1" x14ac:dyDescent="0.25">
      <c r="A6177" s="19" t="s">
        <v>8725</v>
      </c>
    </row>
    <row r="6178" spans="1:1" x14ac:dyDescent="0.25">
      <c r="A6178" s="19" t="s">
        <v>8726</v>
      </c>
    </row>
    <row r="6179" spans="1:1" x14ac:dyDescent="0.25">
      <c r="A6179" s="19" t="s">
        <v>8727</v>
      </c>
    </row>
    <row r="6180" spans="1:1" x14ac:dyDescent="0.25">
      <c r="A6180" s="19" t="s">
        <v>8728</v>
      </c>
    </row>
    <row r="6181" spans="1:1" x14ac:dyDescent="0.25">
      <c r="A6181" s="19" t="s">
        <v>8729</v>
      </c>
    </row>
    <row r="6182" spans="1:1" x14ac:dyDescent="0.25">
      <c r="A6182" s="19" t="s">
        <v>8730</v>
      </c>
    </row>
    <row r="6183" spans="1:1" x14ac:dyDescent="0.25">
      <c r="A6183" s="19" t="s">
        <v>8731</v>
      </c>
    </row>
    <row r="6184" spans="1:1" x14ac:dyDescent="0.25">
      <c r="A6184" s="19" t="s">
        <v>8732</v>
      </c>
    </row>
    <row r="6185" spans="1:1" x14ac:dyDescent="0.25">
      <c r="A6185" s="19" t="s">
        <v>8733</v>
      </c>
    </row>
    <row r="6186" spans="1:1" x14ac:dyDescent="0.25">
      <c r="A6186" s="19" t="s">
        <v>8734</v>
      </c>
    </row>
    <row r="6187" spans="1:1" x14ac:dyDescent="0.25">
      <c r="A6187" s="19" t="s">
        <v>8735</v>
      </c>
    </row>
    <row r="6188" spans="1:1" x14ac:dyDescent="0.25">
      <c r="A6188" s="19" t="s">
        <v>8736</v>
      </c>
    </row>
    <row r="6189" spans="1:1" x14ac:dyDescent="0.25">
      <c r="A6189" s="19" t="s">
        <v>8737</v>
      </c>
    </row>
    <row r="6190" spans="1:1" x14ac:dyDescent="0.25">
      <c r="A6190" s="19" t="s">
        <v>8738</v>
      </c>
    </row>
    <row r="6191" spans="1:1" x14ac:dyDescent="0.25">
      <c r="A6191" s="19" t="s">
        <v>8739</v>
      </c>
    </row>
    <row r="6192" spans="1:1" x14ac:dyDescent="0.25">
      <c r="A6192" s="19" t="s">
        <v>8740</v>
      </c>
    </row>
    <row r="6193" spans="1:1" x14ac:dyDescent="0.25">
      <c r="A6193" s="19" t="s">
        <v>8741</v>
      </c>
    </row>
    <row r="6194" spans="1:1" x14ac:dyDescent="0.25">
      <c r="A6194" s="19" t="s">
        <v>8742</v>
      </c>
    </row>
    <row r="6195" spans="1:1" x14ac:dyDescent="0.25">
      <c r="A6195" s="19" t="s">
        <v>8743</v>
      </c>
    </row>
    <row r="6196" spans="1:1" x14ac:dyDescent="0.25">
      <c r="A6196" s="19" t="s">
        <v>8744</v>
      </c>
    </row>
    <row r="6197" spans="1:1" x14ac:dyDescent="0.25">
      <c r="A6197" s="19" t="s">
        <v>8745</v>
      </c>
    </row>
    <row r="6198" spans="1:1" x14ac:dyDescent="0.25">
      <c r="A6198" s="19" t="s">
        <v>8746</v>
      </c>
    </row>
    <row r="6199" spans="1:1" x14ac:dyDescent="0.25">
      <c r="A6199" s="19" t="s">
        <v>8747</v>
      </c>
    </row>
    <row r="6200" spans="1:1" x14ac:dyDescent="0.25">
      <c r="A6200" s="19" t="s">
        <v>8748</v>
      </c>
    </row>
    <row r="6201" spans="1:1" x14ac:dyDescent="0.25">
      <c r="A6201" s="19" t="s">
        <v>8749</v>
      </c>
    </row>
    <row r="6202" spans="1:1" x14ac:dyDescent="0.25">
      <c r="A6202" s="19" t="s">
        <v>8750</v>
      </c>
    </row>
    <row r="6203" spans="1:1" x14ac:dyDescent="0.25">
      <c r="A6203" s="19" t="s">
        <v>8751</v>
      </c>
    </row>
    <row r="6204" spans="1:1" x14ac:dyDescent="0.25">
      <c r="A6204" s="19" t="s">
        <v>8752</v>
      </c>
    </row>
    <row r="6205" spans="1:1" x14ac:dyDescent="0.25">
      <c r="A6205" s="19" t="s">
        <v>8753</v>
      </c>
    </row>
    <row r="6206" spans="1:1" x14ac:dyDescent="0.25">
      <c r="A6206" s="19" t="s">
        <v>8754</v>
      </c>
    </row>
    <row r="6207" spans="1:1" x14ac:dyDescent="0.25">
      <c r="A6207" s="19" t="s">
        <v>8755</v>
      </c>
    </row>
    <row r="6208" spans="1:1" x14ac:dyDescent="0.25">
      <c r="A6208" s="19" t="s">
        <v>8756</v>
      </c>
    </row>
    <row r="6209" spans="1:1" x14ac:dyDescent="0.25">
      <c r="A6209" s="19" t="s">
        <v>8757</v>
      </c>
    </row>
    <row r="6210" spans="1:1" x14ac:dyDescent="0.25">
      <c r="A6210" s="19" t="s">
        <v>8758</v>
      </c>
    </row>
    <row r="6211" spans="1:1" x14ac:dyDescent="0.25">
      <c r="A6211" s="19" t="s">
        <v>8759</v>
      </c>
    </row>
    <row r="6212" spans="1:1" x14ac:dyDescent="0.25">
      <c r="A6212" s="19" t="s">
        <v>8760</v>
      </c>
    </row>
    <row r="6213" spans="1:1" x14ac:dyDescent="0.25">
      <c r="A6213" s="19" t="s">
        <v>8761</v>
      </c>
    </row>
    <row r="6214" spans="1:1" x14ac:dyDescent="0.25">
      <c r="A6214" s="19" t="s">
        <v>8762</v>
      </c>
    </row>
    <row r="6215" spans="1:1" x14ac:dyDescent="0.25">
      <c r="A6215" s="19" t="s">
        <v>8763</v>
      </c>
    </row>
    <row r="6216" spans="1:1" x14ac:dyDescent="0.25">
      <c r="A6216" s="19" t="s">
        <v>8764</v>
      </c>
    </row>
    <row r="6217" spans="1:1" x14ac:dyDescent="0.25">
      <c r="A6217" s="19" t="s">
        <v>8765</v>
      </c>
    </row>
    <row r="6218" spans="1:1" x14ac:dyDescent="0.25">
      <c r="A6218" s="19" t="s">
        <v>8766</v>
      </c>
    </row>
    <row r="6219" spans="1:1" x14ac:dyDescent="0.25">
      <c r="A6219" s="19" t="s">
        <v>8767</v>
      </c>
    </row>
    <row r="6220" spans="1:1" x14ac:dyDescent="0.25">
      <c r="A6220" s="19" t="s">
        <v>8768</v>
      </c>
    </row>
    <row r="6221" spans="1:1" x14ac:dyDescent="0.25">
      <c r="A6221" s="19" t="s">
        <v>8769</v>
      </c>
    </row>
    <row r="6222" spans="1:1" x14ac:dyDescent="0.25">
      <c r="A6222" s="19" t="s">
        <v>8770</v>
      </c>
    </row>
    <row r="6223" spans="1:1" x14ac:dyDescent="0.25">
      <c r="A6223" s="19" t="s">
        <v>8771</v>
      </c>
    </row>
    <row r="6224" spans="1:1" x14ac:dyDescent="0.25">
      <c r="A6224" s="19" t="s">
        <v>8772</v>
      </c>
    </row>
    <row r="6225" spans="1:1" x14ac:dyDescent="0.25">
      <c r="A6225" s="19" t="s">
        <v>8773</v>
      </c>
    </row>
    <row r="6226" spans="1:1" x14ac:dyDescent="0.25">
      <c r="A6226" s="19" t="s">
        <v>8774</v>
      </c>
    </row>
    <row r="6227" spans="1:1" x14ac:dyDescent="0.25">
      <c r="A6227" s="19" t="s">
        <v>8775</v>
      </c>
    </row>
    <row r="6228" spans="1:1" x14ac:dyDescent="0.25">
      <c r="A6228" s="19" t="s">
        <v>8776</v>
      </c>
    </row>
    <row r="6229" spans="1:1" x14ac:dyDescent="0.25">
      <c r="A6229" s="19" t="s">
        <v>8777</v>
      </c>
    </row>
    <row r="6230" spans="1:1" x14ac:dyDescent="0.25">
      <c r="A6230" s="19" t="s">
        <v>8778</v>
      </c>
    </row>
    <row r="6231" spans="1:1" x14ac:dyDescent="0.25">
      <c r="A6231" s="19" t="s">
        <v>8779</v>
      </c>
    </row>
    <row r="6232" spans="1:1" x14ac:dyDescent="0.25">
      <c r="A6232" s="19" t="s">
        <v>8780</v>
      </c>
    </row>
    <row r="6233" spans="1:1" x14ac:dyDescent="0.25">
      <c r="A6233" s="19" t="s">
        <v>8781</v>
      </c>
    </row>
    <row r="6234" spans="1:1" x14ac:dyDescent="0.25">
      <c r="A6234" s="19" t="s">
        <v>8782</v>
      </c>
    </row>
    <row r="6235" spans="1:1" x14ac:dyDescent="0.25">
      <c r="A6235" s="19" t="s">
        <v>8783</v>
      </c>
    </row>
    <row r="6236" spans="1:1" x14ac:dyDescent="0.25">
      <c r="A6236" s="19" t="s">
        <v>8784</v>
      </c>
    </row>
    <row r="6237" spans="1:1" x14ac:dyDescent="0.25">
      <c r="A6237" s="19" t="s">
        <v>8785</v>
      </c>
    </row>
    <row r="6238" spans="1:1" x14ac:dyDescent="0.25">
      <c r="A6238" s="19" t="s">
        <v>8786</v>
      </c>
    </row>
    <row r="6239" spans="1:1" x14ac:dyDescent="0.25">
      <c r="A6239" s="19" t="s">
        <v>8787</v>
      </c>
    </row>
    <row r="6240" spans="1:1" x14ac:dyDescent="0.25">
      <c r="A6240" s="19" t="s">
        <v>8788</v>
      </c>
    </row>
    <row r="6241" spans="1:1" x14ac:dyDescent="0.25">
      <c r="A6241" s="19" t="s">
        <v>8789</v>
      </c>
    </row>
    <row r="6242" spans="1:1" x14ac:dyDescent="0.25">
      <c r="A6242" s="19" t="s">
        <v>8790</v>
      </c>
    </row>
    <row r="6243" spans="1:1" x14ac:dyDescent="0.25">
      <c r="A6243" s="19" t="s">
        <v>8791</v>
      </c>
    </row>
    <row r="6244" spans="1:1" x14ac:dyDescent="0.25">
      <c r="A6244" s="19" t="s">
        <v>8792</v>
      </c>
    </row>
    <row r="6245" spans="1:1" x14ac:dyDescent="0.25">
      <c r="A6245" s="19" t="s">
        <v>8793</v>
      </c>
    </row>
    <row r="6246" spans="1:1" x14ac:dyDescent="0.25">
      <c r="A6246" s="19" t="s">
        <v>8794</v>
      </c>
    </row>
    <row r="6247" spans="1:1" x14ac:dyDescent="0.25">
      <c r="A6247" s="19" t="s">
        <v>8795</v>
      </c>
    </row>
    <row r="6248" spans="1:1" x14ac:dyDescent="0.25">
      <c r="A6248" s="19" t="s">
        <v>8796</v>
      </c>
    </row>
    <row r="6249" spans="1:1" x14ac:dyDescent="0.25">
      <c r="A6249" s="19" t="s">
        <v>8797</v>
      </c>
    </row>
    <row r="6250" spans="1:1" x14ac:dyDescent="0.25">
      <c r="A6250" s="19" t="s">
        <v>8798</v>
      </c>
    </row>
    <row r="6251" spans="1:1" x14ac:dyDescent="0.25">
      <c r="A6251" s="19" t="s">
        <v>8799</v>
      </c>
    </row>
    <row r="6252" spans="1:1" x14ac:dyDescent="0.25">
      <c r="A6252" s="19" t="s">
        <v>8800</v>
      </c>
    </row>
    <row r="6253" spans="1:1" x14ac:dyDescent="0.25">
      <c r="A6253" s="19" t="s">
        <v>8801</v>
      </c>
    </row>
    <row r="6254" spans="1:1" x14ac:dyDescent="0.25">
      <c r="A6254" s="19" t="s">
        <v>8802</v>
      </c>
    </row>
    <row r="6255" spans="1:1" x14ac:dyDescent="0.25">
      <c r="A6255" s="19" t="s">
        <v>8803</v>
      </c>
    </row>
    <row r="6256" spans="1:1" x14ac:dyDescent="0.25">
      <c r="A6256" s="19" t="s">
        <v>8804</v>
      </c>
    </row>
    <row r="6257" spans="1:1" x14ac:dyDescent="0.25">
      <c r="A6257" s="19" t="s">
        <v>8805</v>
      </c>
    </row>
    <row r="6258" spans="1:1" x14ac:dyDescent="0.25">
      <c r="A6258" s="19" t="s">
        <v>8806</v>
      </c>
    </row>
    <row r="6259" spans="1:1" x14ac:dyDescent="0.25">
      <c r="A6259" s="19" t="s">
        <v>8807</v>
      </c>
    </row>
    <row r="6260" spans="1:1" x14ac:dyDescent="0.25">
      <c r="A6260" s="19" t="s">
        <v>8808</v>
      </c>
    </row>
    <row r="6261" spans="1:1" x14ac:dyDescent="0.25">
      <c r="A6261" s="19" t="s">
        <v>8809</v>
      </c>
    </row>
    <row r="6262" spans="1:1" x14ac:dyDescent="0.25">
      <c r="A6262" s="19" t="s">
        <v>8810</v>
      </c>
    </row>
    <row r="6263" spans="1:1" x14ac:dyDescent="0.25">
      <c r="A6263" s="19" t="s">
        <v>8811</v>
      </c>
    </row>
    <row r="6264" spans="1:1" x14ac:dyDescent="0.25">
      <c r="A6264" s="19" t="s">
        <v>8812</v>
      </c>
    </row>
    <row r="6265" spans="1:1" x14ac:dyDescent="0.25">
      <c r="A6265" s="19" t="s">
        <v>8813</v>
      </c>
    </row>
    <row r="6266" spans="1:1" x14ac:dyDescent="0.25">
      <c r="A6266" s="19" t="s">
        <v>8814</v>
      </c>
    </row>
    <row r="6267" spans="1:1" x14ac:dyDescent="0.25">
      <c r="A6267" s="19" t="s">
        <v>8815</v>
      </c>
    </row>
    <row r="6268" spans="1:1" x14ac:dyDescent="0.25">
      <c r="A6268" s="19" t="s">
        <v>8816</v>
      </c>
    </row>
    <row r="6269" spans="1:1" x14ac:dyDescent="0.25">
      <c r="A6269" s="19" t="s">
        <v>8817</v>
      </c>
    </row>
    <row r="6270" spans="1:1" x14ac:dyDescent="0.25">
      <c r="A6270" s="19" t="s">
        <v>8818</v>
      </c>
    </row>
    <row r="6271" spans="1:1" x14ac:dyDescent="0.25">
      <c r="A6271" s="19" t="s">
        <v>8819</v>
      </c>
    </row>
    <row r="6272" spans="1:1" x14ac:dyDescent="0.25">
      <c r="A6272" s="19" t="s">
        <v>8820</v>
      </c>
    </row>
    <row r="6273" spans="1:1" x14ac:dyDescent="0.25">
      <c r="A6273" s="19" t="s">
        <v>8821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
  <sheetViews>
    <sheetView workbookViewId="0">
      <selection activeCell="C2" sqref="C2:D2"/>
    </sheetView>
  </sheetViews>
  <sheetFormatPr defaultColWidth="11" defaultRowHeight="15.75" x14ac:dyDescent="0.25"/>
  <cols>
    <col min="1" max="1" width="34.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2647</v>
      </c>
    </row>
    <row r="2" spans="1:25" s="7" customFormat="1" ht="51" x14ac:dyDescent="0.2">
      <c r="A2" s="8" t="s">
        <v>62</v>
      </c>
      <c r="B2" s="8" t="s">
        <v>29</v>
      </c>
      <c r="C2" s="8" t="s">
        <v>8823</v>
      </c>
      <c r="D2" s="8" t="s">
        <v>8824</v>
      </c>
      <c r="E2" s="8" t="s">
        <v>26</v>
      </c>
      <c r="F2" s="8" t="s">
        <v>27</v>
      </c>
      <c r="G2" s="8" t="s">
        <v>32</v>
      </c>
      <c r="H2" s="8" t="s">
        <v>33</v>
      </c>
      <c r="I2" s="8" t="s">
        <v>34</v>
      </c>
      <c r="J2" s="8" t="s">
        <v>35</v>
      </c>
      <c r="K2" s="8" t="s">
        <v>36</v>
      </c>
      <c r="L2" s="8" t="s">
        <v>37</v>
      </c>
      <c r="M2" s="8" t="s">
        <v>13</v>
      </c>
      <c r="N2" s="8" t="s">
        <v>38</v>
      </c>
      <c r="O2" s="8" t="s">
        <v>39</v>
      </c>
      <c r="P2" s="8" t="s">
        <v>40</v>
      </c>
      <c r="Q2" s="8" t="s">
        <v>41</v>
      </c>
      <c r="R2" s="8" t="s">
        <v>0</v>
      </c>
      <c r="S2" s="8" t="s">
        <v>1</v>
      </c>
      <c r="T2" s="8" t="s">
        <v>42</v>
      </c>
      <c r="U2" s="8" t="s">
        <v>2</v>
      </c>
      <c r="V2" s="8" t="s">
        <v>3</v>
      </c>
      <c r="W2" s="8" t="s">
        <v>43</v>
      </c>
      <c r="X2" s="8" t="s">
        <v>4</v>
      </c>
      <c r="Y2" s="8" t="s">
        <v>5</v>
      </c>
    </row>
    <row r="3" spans="1:25" x14ac:dyDescent="0.25">
      <c r="A3" s="20" t="s">
        <v>8822</v>
      </c>
      <c r="B3" s="1"/>
      <c r="C3" s="4"/>
      <c r="D3" s="4"/>
      <c r="E3" s="4"/>
      <c r="F3" s="4"/>
      <c r="G3" s="4"/>
      <c r="H3" s="4"/>
      <c r="I3" s="4"/>
      <c r="J3" s="4"/>
      <c r="K3" s="4"/>
      <c r="L3" s="4"/>
      <c r="M3" s="4"/>
      <c r="N3" s="4"/>
    </row>
    <row r="4" spans="1:25" x14ac:dyDescent="0.25">
      <c r="A4" s="17" t="s">
        <v>1780</v>
      </c>
      <c r="B4" s="2"/>
      <c r="C4" s="3"/>
      <c r="D4" s="3"/>
      <c r="E4" s="3"/>
      <c r="F4" s="3"/>
      <c r="G4" s="3"/>
      <c r="H4" s="3"/>
      <c r="I4" s="3"/>
      <c r="J4" s="3"/>
      <c r="K4" s="3"/>
      <c r="L4" s="3"/>
      <c r="M4" s="3"/>
      <c r="N4" s="3"/>
      <c r="O4" s="3"/>
      <c r="P4" s="3"/>
      <c r="Q4" s="3"/>
      <c r="R4" s="3"/>
      <c r="S4" s="3"/>
      <c r="T4" s="3"/>
    </row>
    <row r="5" spans="1:25" x14ac:dyDescent="0.25">
      <c r="A5" s="17" t="s">
        <v>1781</v>
      </c>
      <c r="B5" s="2"/>
      <c r="C5" s="3"/>
      <c r="D5" s="3"/>
      <c r="E5" s="3"/>
      <c r="F5" s="3"/>
      <c r="G5" s="3"/>
      <c r="H5" s="3"/>
      <c r="I5" s="3"/>
      <c r="J5" s="3"/>
      <c r="K5" s="3"/>
      <c r="L5" s="3"/>
      <c r="M5" s="3"/>
      <c r="N5" s="3"/>
      <c r="O5" s="6"/>
      <c r="P5" s="6"/>
      <c r="Q5" s="3"/>
      <c r="R5" s="3"/>
      <c r="S5" s="3"/>
      <c r="T5" s="3"/>
    </row>
    <row r="6" spans="1:25" x14ac:dyDescent="0.25">
      <c r="A6" s="17" t="s">
        <v>1791</v>
      </c>
      <c r="B6" s="2"/>
      <c r="C6" s="3"/>
      <c r="D6" s="3"/>
      <c r="E6" s="3"/>
      <c r="F6" s="3"/>
      <c r="G6" s="3"/>
      <c r="H6" s="3"/>
      <c r="I6" s="3"/>
      <c r="J6" s="3"/>
      <c r="K6" s="3"/>
      <c r="L6" s="3"/>
      <c r="M6" s="3"/>
      <c r="N6" s="3"/>
      <c r="O6" s="6"/>
      <c r="P6" s="6"/>
      <c r="Q6" s="3"/>
      <c r="R6" s="3"/>
      <c r="S6" s="3"/>
      <c r="T6" s="3"/>
    </row>
    <row r="7" spans="1:25" x14ac:dyDescent="0.25">
      <c r="A7" s="17" t="s">
        <v>1782</v>
      </c>
      <c r="B7" s="2"/>
      <c r="C7" s="3"/>
      <c r="D7" s="3"/>
      <c r="E7" s="3"/>
      <c r="F7" s="3"/>
      <c r="G7" s="3"/>
      <c r="H7" s="3"/>
      <c r="I7" s="3"/>
      <c r="J7" s="3"/>
      <c r="K7" s="3"/>
      <c r="L7" s="3"/>
      <c r="M7" s="3"/>
      <c r="N7" s="3"/>
      <c r="O7" s="6"/>
      <c r="P7" s="6"/>
      <c r="Q7" s="3"/>
      <c r="R7" s="3"/>
      <c r="S7" s="3"/>
      <c r="T7" s="3"/>
    </row>
    <row r="8" spans="1:25" x14ac:dyDescent="0.25">
      <c r="A8" s="17" t="s">
        <v>1783</v>
      </c>
      <c r="B8" s="2"/>
      <c r="O8" s="6"/>
      <c r="P8" s="6"/>
      <c r="Q8" s="3"/>
      <c r="R8" s="3"/>
      <c r="S8" s="3"/>
      <c r="T8" s="3"/>
    </row>
    <row r="9" spans="1:25" x14ac:dyDescent="0.25">
      <c r="A9" s="17" t="s">
        <v>1784</v>
      </c>
    </row>
    <row r="10" spans="1:25" x14ac:dyDescent="0.25">
      <c r="A10" s="17" t="s">
        <v>1785</v>
      </c>
    </row>
    <row r="11" spans="1:25" x14ac:dyDescent="0.25">
      <c r="A11" s="17" t="s">
        <v>1786</v>
      </c>
    </row>
    <row r="12" spans="1:25" x14ac:dyDescent="0.25">
      <c r="A12" s="17" t="s">
        <v>1787</v>
      </c>
    </row>
    <row r="13" spans="1:25" x14ac:dyDescent="0.25">
      <c r="A13" s="17" t="s">
        <v>1788</v>
      </c>
    </row>
    <row r="14" spans="1:25" x14ac:dyDescent="0.25">
      <c r="A14" s="17" t="s">
        <v>1789</v>
      </c>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BABF4B88-C16C-4701-9521-FAD9A5EB486C}">
          <x14:formula1>
            <xm:f>'Higher Education Institutions'!$A:$A</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4"/>
  <sheetViews>
    <sheetView workbookViewId="0">
      <selection activeCell="C2" sqref="C2:D2"/>
    </sheetView>
  </sheetViews>
  <sheetFormatPr defaultColWidth="11" defaultRowHeight="15.75" x14ac:dyDescent="0.25"/>
  <cols>
    <col min="1" max="1" width="35.7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2648</v>
      </c>
    </row>
    <row r="2" spans="1:25" s="7" customFormat="1" ht="51" x14ac:dyDescent="0.2">
      <c r="A2" s="8" t="s">
        <v>62</v>
      </c>
      <c r="B2" s="8" t="s">
        <v>29</v>
      </c>
      <c r="C2" s="8" t="s">
        <v>8823</v>
      </c>
      <c r="D2" s="8" t="s">
        <v>8824</v>
      </c>
      <c r="E2" s="8" t="s">
        <v>26</v>
      </c>
      <c r="F2" s="8" t="s">
        <v>27</v>
      </c>
      <c r="G2" s="8" t="s">
        <v>32</v>
      </c>
      <c r="H2" s="8" t="s">
        <v>33</v>
      </c>
      <c r="I2" s="8" t="s">
        <v>34</v>
      </c>
      <c r="J2" s="8" t="s">
        <v>35</v>
      </c>
      <c r="K2" s="8" t="s">
        <v>36</v>
      </c>
      <c r="L2" s="8" t="s">
        <v>37</v>
      </c>
      <c r="M2" s="8" t="s">
        <v>13</v>
      </c>
      <c r="N2" s="8" t="s">
        <v>38</v>
      </c>
      <c r="O2" s="8" t="s">
        <v>39</v>
      </c>
      <c r="P2" s="8" t="s">
        <v>40</v>
      </c>
      <c r="Q2" s="8" t="s">
        <v>41</v>
      </c>
      <c r="R2" s="8" t="s">
        <v>0</v>
      </c>
      <c r="S2" s="8" t="s">
        <v>1</v>
      </c>
      <c r="T2" s="8" t="s">
        <v>42</v>
      </c>
      <c r="U2" s="8" t="s">
        <v>2</v>
      </c>
      <c r="V2" s="8" t="s">
        <v>3</v>
      </c>
      <c r="W2" s="8" t="s">
        <v>43</v>
      </c>
      <c r="X2" s="8" t="s">
        <v>4</v>
      </c>
      <c r="Y2" s="8" t="s">
        <v>5</v>
      </c>
    </row>
    <row r="3" spans="1:25" x14ac:dyDescent="0.25">
      <c r="A3" s="20" t="s">
        <v>8822</v>
      </c>
      <c r="B3" s="1"/>
      <c r="C3" s="4"/>
      <c r="D3" s="4"/>
      <c r="E3" s="4"/>
      <c r="F3" s="4"/>
      <c r="G3" s="4"/>
      <c r="H3" s="4"/>
      <c r="I3" s="4"/>
      <c r="J3" s="4"/>
      <c r="K3" s="4"/>
      <c r="L3" s="4"/>
      <c r="M3" s="4"/>
      <c r="N3" s="4"/>
    </row>
    <row r="4" spans="1:25" x14ac:dyDescent="0.25">
      <c r="A4" s="17" t="s">
        <v>1780</v>
      </c>
      <c r="B4" s="2"/>
      <c r="C4" s="3"/>
      <c r="D4" s="3"/>
      <c r="E4" s="3"/>
      <c r="F4" s="3"/>
      <c r="G4" s="3"/>
      <c r="H4" s="3"/>
      <c r="I4" s="3"/>
      <c r="J4" s="3"/>
      <c r="K4" s="3"/>
      <c r="L4" s="3"/>
      <c r="M4" s="3"/>
      <c r="N4" s="3"/>
      <c r="O4" s="3"/>
      <c r="P4" s="3"/>
      <c r="Q4" s="3"/>
      <c r="R4" s="3"/>
      <c r="S4" s="3"/>
      <c r="T4" s="3"/>
    </row>
    <row r="5" spans="1:25" x14ac:dyDescent="0.25">
      <c r="A5" s="17" t="s">
        <v>1781</v>
      </c>
      <c r="B5" s="2"/>
      <c r="C5" s="3"/>
      <c r="D5" s="3"/>
      <c r="E5" s="3"/>
      <c r="F5" s="3"/>
      <c r="G5" s="3"/>
      <c r="H5" s="3"/>
      <c r="I5" s="3"/>
      <c r="J5" s="3"/>
      <c r="K5" s="3"/>
      <c r="L5" s="3"/>
      <c r="M5" s="3"/>
      <c r="N5" s="3"/>
      <c r="O5" s="6"/>
      <c r="P5" s="6"/>
      <c r="Q5" s="3"/>
      <c r="R5" s="3"/>
      <c r="S5" s="3"/>
      <c r="T5" s="3"/>
    </row>
    <row r="6" spans="1:25" x14ac:dyDescent="0.25">
      <c r="A6" s="17" t="s">
        <v>1791</v>
      </c>
      <c r="B6" s="2"/>
      <c r="C6" s="3"/>
      <c r="D6" s="3"/>
      <c r="E6" s="3"/>
      <c r="F6" s="3"/>
      <c r="G6" s="3"/>
      <c r="H6" s="3"/>
      <c r="I6" s="3"/>
      <c r="J6" s="3"/>
      <c r="K6" s="3"/>
      <c r="L6" s="3"/>
      <c r="M6" s="3"/>
      <c r="N6" s="3"/>
      <c r="O6" s="6"/>
      <c r="P6" s="6"/>
      <c r="Q6" s="3"/>
      <c r="R6" s="3"/>
      <c r="S6" s="3"/>
      <c r="T6" s="3"/>
    </row>
    <row r="7" spans="1:25" x14ac:dyDescent="0.25">
      <c r="A7" s="17" t="s">
        <v>1782</v>
      </c>
      <c r="B7" s="2"/>
      <c r="C7" s="3"/>
      <c r="D7" s="3"/>
      <c r="E7" s="3"/>
      <c r="F7" s="3"/>
      <c r="G7" s="3"/>
      <c r="H7" s="3"/>
      <c r="I7" s="3"/>
      <c r="J7" s="3"/>
      <c r="K7" s="3"/>
      <c r="L7" s="3"/>
      <c r="M7" s="3"/>
      <c r="N7" s="3"/>
      <c r="O7" s="6"/>
      <c r="P7" s="6"/>
      <c r="Q7" s="3"/>
      <c r="R7" s="3"/>
      <c r="S7" s="3"/>
      <c r="T7" s="3"/>
    </row>
    <row r="8" spans="1:25" x14ac:dyDescent="0.25">
      <c r="A8" s="17" t="s">
        <v>1783</v>
      </c>
      <c r="B8" s="2"/>
      <c r="O8" s="6"/>
      <c r="P8" s="6"/>
      <c r="Q8" s="3"/>
      <c r="R8" s="3"/>
      <c r="S8" s="3"/>
      <c r="T8" s="3"/>
    </row>
    <row r="9" spans="1:25" x14ac:dyDescent="0.25">
      <c r="A9" s="17" t="s">
        <v>1784</v>
      </c>
    </row>
    <row r="10" spans="1:25" x14ac:dyDescent="0.25">
      <c r="A10" s="17" t="s">
        <v>1785</v>
      </c>
    </row>
    <row r="11" spans="1:25" x14ac:dyDescent="0.25">
      <c r="A11" s="17" t="s">
        <v>1786</v>
      </c>
    </row>
    <row r="12" spans="1:25" x14ac:dyDescent="0.25">
      <c r="A12" s="17" t="s">
        <v>1787</v>
      </c>
    </row>
    <row r="13" spans="1:25" x14ac:dyDescent="0.25">
      <c r="A13" s="17" t="s">
        <v>1788</v>
      </c>
    </row>
    <row r="14" spans="1:25" x14ac:dyDescent="0.25">
      <c r="A14" s="17" t="s">
        <v>1789</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2D5189D9-7270-4C37-BDBE-A5E9CE868667}">
          <x14:formula1>
            <xm:f>'Higher Education Institutions'!$A:$A</xm:f>
          </x14:formula1>
          <xm:sqref>A3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4"/>
  <sheetViews>
    <sheetView workbookViewId="0">
      <selection activeCell="C2" sqref="C2:D2"/>
    </sheetView>
  </sheetViews>
  <sheetFormatPr defaultColWidth="11" defaultRowHeight="15.75" x14ac:dyDescent="0.25"/>
  <cols>
    <col min="1" max="1" width="36.125" customWidth="1"/>
    <col min="2" max="2" width="10.5" customWidth="1"/>
    <col min="3" max="6" width="8.625" customWidth="1"/>
    <col min="7" max="8" width="10.125" customWidth="1"/>
    <col min="9" max="9" width="11.375" customWidth="1"/>
    <col min="10" max="10" width="11.875" customWidth="1"/>
    <col min="11" max="17" width="8.625" customWidth="1"/>
    <col min="18" max="18" width="9.375" customWidth="1"/>
    <col min="19" max="27" width="8.625" customWidth="1"/>
  </cols>
  <sheetData>
    <row r="1" spans="1:27" x14ac:dyDescent="0.25">
      <c r="A1" t="s">
        <v>2649</v>
      </c>
    </row>
    <row r="2" spans="1:27" s="7" customFormat="1" ht="51" x14ac:dyDescent="0.2">
      <c r="A2" s="8" t="s">
        <v>62</v>
      </c>
      <c r="B2" s="8" t="s">
        <v>29</v>
      </c>
      <c r="C2" s="8" t="s">
        <v>8823</v>
      </c>
      <c r="D2" s="8" t="s">
        <v>8824</v>
      </c>
      <c r="E2" s="8" t="s">
        <v>52</v>
      </c>
      <c r="F2" s="8" t="s">
        <v>51</v>
      </c>
      <c r="G2" s="8" t="s">
        <v>26</v>
      </c>
      <c r="H2" s="8" t="s">
        <v>27</v>
      </c>
      <c r="I2" s="8" t="s">
        <v>32</v>
      </c>
      <c r="J2" s="8" t="s">
        <v>33</v>
      </c>
      <c r="K2" s="8" t="s">
        <v>34</v>
      </c>
      <c r="L2" s="8" t="s">
        <v>35</v>
      </c>
      <c r="M2" s="8" t="s">
        <v>36</v>
      </c>
      <c r="N2" s="8" t="s">
        <v>37</v>
      </c>
      <c r="O2" s="8" t="s">
        <v>13</v>
      </c>
      <c r="P2" s="8" t="s">
        <v>38</v>
      </c>
      <c r="Q2" s="8" t="s">
        <v>39</v>
      </c>
      <c r="R2" s="8" t="s">
        <v>40</v>
      </c>
      <c r="S2" s="8" t="s">
        <v>41</v>
      </c>
      <c r="T2" s="8" t="s">
        <v>0</v>
      </c>
      <c r="U2" s="8" t="s">
        <v>1</v>
      </c>
      <c r="V2" s="8" t="s">
        <v>42</v>
      </c>
      <c r="W2" s="8" t="s">
        <v>2</v>
      </c>
      <c r="X2" s="8" t="s">
        <v>3</v>
      </c>
      <c r="Y2" s="8" t="s">
        <v>43</v>
      </c>
      <c r="Z2" s="8" t="s">
        <v>4</v>
      </c>
      <c r="AA2" s="8" t="s">
        <v>5</v>
      </c>
    </row>
    <row r="3" spans="1:27" x14ac:dyDescent="0.25">
      <c r="A3" s="20" t="s">
        <v>8822</v>
      </c>
      <c r="B3" s="1"/>
      <c r="C3" s="4"/>
      <c r="D3" s="4"/>
      <c r="E3" s="4"/>
      <c r="F3" s="4"/>
      <c r="G3" s="4"/>
      <c r="H3" s="4"/>
      <c r="I3" s="4"/>
      <c r="J3" s="4"/>
      <c r="K3" s="4"/>
      <c r="L3" s="4"/>
      <c r="M3" s="4"/>
      <c r="N3" s="4"/>
      <c r="O3" s="4"/>
      <c r="P3" s="4"/>
    </row>
    <row r="4" spans="1:27" x14ac:dyDescent="0.25">
      <c r="A4" s="17" t="s">
        <v>1780</v>
      </c>
      <c r="B4" s="2"/>
      <c r="C4" s="3"/>
      <c r="D4" s="3"/>
      <c r="E4" s="3"/>
      <c r="F4" s="3"/>
      <c r="G4" s="3"/>
      <c r="H4" s="3"/>
      <c r="I4" s="3"/>
      <c r="J4" s="3"/>
      <c r="K4" s="3"/>
      <c r="L4" s="3"/>
      <c r="M4" s="3"/>
      <c r="N4" s="3"/>
      <c r="O4" s="3"/>
      <c r="P4" s="3"/>
      <c r="Q4" s="3"/>
      <c r="R4" s="3"/>
      <c r="S4" s="3"/>
      <c r="T4" s="3"/>
      <c r="U4" s="3"/>
      <c r="V4" s="3"/>
    </row>
    <row r="5" spans="1:27" x14ac:dyDescent="0.25">
      <c r="A5" s="17" t="s">
        <v>1781</v>
      </c>
      <c r="B5" s="2"/>
      <c r="C5" s="3"/>
      <c r="D5" s="3"/>
      <c r="E5" s="3"/>
      <c r="F5" s="3"/>
      <c r="G5" s="3"/>
      <c r="H5" s="3"/>
      <c r="I5" s="3"/>
      <c r="J5" s="3"/>
      <c r="K5" s="3"/>
      <c r="L5" s="3"/>
      <c r="M5" s="3"/>
      <c r="N5" s="3"/>
      <c r="O5" s="3"/>
      <c r="P5" s="3"/>
      <c r="Q5" s="3"/>
      <c r="R5" s="3"/>
      <c r="S5" s="3"/>
      <c r="T5" s="3"/>
      <c r="U5" s="3"/>
      <c r="V5" s="3"/>
    </row>
    <row r="6" spans="1:27" x14ac:dyDescent="0.25">
      <c r="A6" s="17" t="s">
        <v>1791</v>
      </c>
      <c r="B6" s="2"/>
      <c r="C6" s="3"/>
      <c r="D6" s="3"/>
      <c r="E6" s="3"/>
      <c r="F6" s="3"/>
      <c r="G6" s="3"/>
      <c r="H6" s="3"/>
      <c r="I6" s="3"/>
      <c r="J6" s="3"/>
      <c r="K6" s="3"/>
      <c r="L6" s="3"/>
      <c r="M6" s="3"/>
      <c r="N6" s="3"/>
      <c r="O6" s="3"/>
      <c r="P6" s="3"/>
      <c r="Q6" s="3"/>
      <c r="R6" s="3"/>
      <c r="S6" s="3"/>
      <c r="T6" s="3"/>
      <c r="U6" s="3"/>
      <c r="V6" s="3"/>
    </row>
    <row r="7" spans="1:27" x14ac:dyDescent="0.25">
      <c r="A7" s="17" t="s">
        <v>1782</v>
      </c>
      <c r="B7" s="2"/>
      <c r="C7" s="3"/>
      <c r="D7" s="3"/>
      <c r="E7" s="3"/>
      <c r="F7" s="3"/>
      <c r="G7" s="3"/>
      <c r="H7" s="3"/>
      <c r="I7" s="3"/>
      <c r="J7" s="3"/>
      <c r="K7" s="3"/>
      <c r="L7" s="3"/>
      <c r="M7" s="3"/>
      <c r="N7" s="3"/>
      <c r="O7" s="3"/>
      <c r="P7" s="3"/>
      <c r="Q7" s="3"/>
      <c r="R7" s="3"/>
      <c r="S7" s="3"/>
      <c r="T7" s="3"/>
      <c r="U7" s="3"/>
      <c r="V7" s="3"/>
    </row>
    <row r="8" spans="1:27" x14ac:dyDescent="0.25">
      <c r="A8" s="17" t="s">
        <v>1783</v>
      </c>
      <c r="B8" s="2"/>
      <c r="Q8" s="3"/>
      <c r="R8" s="3"/>
      <c r="S8" s="3"/>
      <c r="T8" s="3"/>
      <c r="U8" s="3"/>
      <c r="V8" s="3"/>
    </row>
    <row r="9" spans="1:27" x14ac:dyDescent="0.25">
      <c r="A9" s="17" t="s">
        <v>1784</v>
      </c>
    </row>
    <row r="10" spans="1:27" x14ac:dyDescent="0.25">
      <c r="A10" s="17" t="s">
        <v>1785</v>
      </c>
    </row>
    <row r="11" spans="1:27" x14ac:dyDescent="0.25">
      <c r="A11" s="17" t="s">
        <v>1786</v>
      </c>
    </row>
    <row r="12" spans="1:27" x14ac:dyDescent="0.25">
      <c r="A12" s="17" t="s">
        <v>1787</v>
      </c>
    </row>
    <row r="13" spans="1:27" x14ac:dyDescent="0.25">
      <c r="A13" s="17" t="s">
        <v>1788</v>
      </c>
    </row>
    <row r="14" spans="1:27" x14ac:dyDescent="0.25">
      <c r="A14" s="17" t="s">
        <v>1789</v>
      </c>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3ECFED8F-DA01-4430-ABD8-B2CD5C07B189}">
          <x14:formula1>
            <xm:f>'Higher Education Institutions'!$A:$A</xm:f>
          </x14:formula1>
          <xm:sqref>A3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4"/>
  <sheetViews>
    <sheetView workbookViewId="0">
      <selection activeCell="C2" sqref="C2:D2"/>
    </sheetView>
  </sheetViews>
  <sheetFormatPr defaultColWidth="11" defaultRowHeight="15.75" x14ac:dyDescent="0.25"/>
  <cols>
    <col min="1" max="1" width="35.5" customWidth="1"/>
    <col min="2" max="2" width="10.5" customWidth="1"/>
    <col min="3" max="6" width="8.625" customWidth="1"/>
    <col min="7" max="8" width="10.125" customWidth="1"/>
    <col min="9" max="9" width="11.375" customWidth="1"/>
    <col min="10" max="10" width="11.875" customWidth="1"/>
    <col min="11" max="12" width="8.625" customWidth="1"/>
    <col min="13" max="14" width="9.5" customWidth="1"/>
    <col min="15" max="17" width="8.625" customWidth="1"/>
    <col min="18" max="18" width="9.375" customWidth="1"/>
    <col min="19" max="27" width="8.625" customWidth="1"/>
  </cols>
  <sheetData>
    <row r="1" spans="1:27" x14ac:dyDescent="0.25">
      <c r="A1" t="s">
        <v>2650</v>
      </c>
    </row>
    <row r="2" spans="1:27" s="7" customFormat="1" ht="51" x14ac:dyDescent="0.2">
      <c r="A2" s="8" t="s">
        <v>62</v>
      </c>
      <c r="B2" s="8" t="s">
        <v>29</v>
      </c>
      <c r="C2" s="8" t="s">
        <v>8823</v>
      </c>
      <c r="D2" s="8" t="s">
        <v>8824</v>
      </c>
      <c r="E2" s="8" t="s">
        <v>52</v>
      </c>
      <c r="F2" s="8" t="s">
        <v>51</v>
      </c>
      <c r="G2" s="8" t="s">
        <v>26</v>
      </c>
      <c r="H2" s="8" t="s">
        <v>27</v>
      </c>
      <c r="I2" s="8" t="s">
        <v>32</v>
      </c>
      <c r="J2" s="8" t="s">
        <v>33</v>
      </c>
      <c r="K2" s="8" t="s">
        <v>34</v>
      </c>
      <c r="L2" s="8" t="s">
        <v>35</v>
      </c>
      <c r="M2" s="8" t="s">
        <v>49</v>
      </c>
      <c r="N2" s="8" t="s">
        <v>50</v>
      </c>
      <c r="O2" s="8" t="s">
        <v>13</v>
      </c>
      <c r="P2" s="8" t="s">
        <v>38</v>
      </c>
      <c r="Q2" s="8" t="s">
        <v>39</v>
      </c>
      <c r="R2" s="8" t="s">
        <v>40</v>
      </c>
      <c r="S2" s="8" t="s">
        <v>41</v>
      </c>
      <c r="T2" s="8" t="s">
        <v>0</v>
      </c>
      <c r="U2" s="8" t="s">
        <v>1</v>
      </c>
      <c r="V2" s="8" t="s">
        <v>42</v>
      </c>
      <c r="W2" s="8" t="s">
        <v>2</v>
      </c>
      <c r="X2" s="8" t="s">
        <v>3</v>
      </c>
      <c r="Y2" s="8" t="s">
        <v>43</v>
      </c>
      <c r="Z2" s="8" t="s">
        <v>4</v>
      </c>
      <c r="AA2" s="8" t="s">
        <v>5</v>
      </c>
    </row>
    <row r="3" spans="1:27" x14ac:dyDescent="0.25">
      <c r="A3" s="20" t="s">
        <v>8822</v>
      </c>
      <c r="B3" s="1"/>
      <c r="C3" s="4"/>
      <c r="D3" s="4"/>
      <c r="E3" s="4"/>
      <c r="F3" s="4"/>
      <c r="G3" s="4"/>
      <c r="H3" s="4"/>
      <c r="I3" s="4"/>
      <c r="J3" s="4"/>
      <c r="K3" s="4"/>
      <c r="L3" s="4"/>
      <c r="M3" s="4"/>
      <c r="N3" s="4"/>
      <c r="O3" s="4"/>
      <c r="P3" s="4"/>
    </row>
    <row r="4" spans="1:27" x14ac:dyDescent="0.25">
      <c r="A4" s="17" t="s">
        <v>1780</v>
      </c>
      <c r="B4" s="2"/>
      <c r="C4" s="3"/>
      <c r="D4" s="3"/>
      <c r="E4" s="3"/>
      <c r="F4" s="3"/>
      <c r="G4" s="3"/>
      <c r="H4" s="3"/>
      <c r="I4" s="3"/>
      <c r="J4" s="3"/>
      <c r="K4" s="3"/>
      <c r="L4" s="3"/>
      <c r="M4" s="3"/>
      <c r="N4" s="3"/>
      <c r="O4" s="3"/>
      <c r="P4" s="3"/>
      <c r="Q4" s="3"/>
      <c r="R4" s="3"/>
      <c r="S4" s="3"/>
      <c r="T4" s="3"/>
      <c r="U4" s="3"/>
      <c r="V4" s="3"/>
    </row>
    <row r="5" spans="1:27" x14ac:dyDescent="0.25">
      <c r="A5" s="17" t="s">
        <v>1781</v>
      </c>
      <c r="B5" s="2"/>
      <c r="C5" s="3"/>
      <c r="D5" s="3"/>
      <c r="E5" s="3"/>
      <c r="F5" s="3"/>
      <c r="G5" s="3"/>
      <c r="H5" s="3"/>
      <c r="I5" s="3"/>
      <c r="J5" s="3"/>
      <c r="K5" s="3"/>
      <c r="L5" s="3"/>
      <c r="M5" s="3"/>
      <c r="N5" s="3"/>
      <c r="O5" s="3"/>
      <c r="P5" s="3"/>
      <c r="Q5" s="3"/>
      <c r="R5" s="3"/>
      <c r="S5" s="3"/>
      <c r="T5" s="3"/>
      <c r="U5" s="3"/>
      <c r="V5" s="3"/>
    </row>
    <row r="6" spans="1:27" x14ac:dyDescent="0.25">
      <c r="A6" s="17" t="s">
        <v>1791</v>
      </c>
      <c r="B6" s="2"/>
      <c r="C6" s="3"/>
      <c r="D6" s="3"/>
      <c r="E6" s="3"/>
      <c r="F6" s="3"/>
      <c r="G6" s="3"/>
      <c r="H6" s="3"/>
      <c r="I6" s="3"/>
      <c r="J6" s="3"/>
      <c r="K6" s="3"/>
      <c r="L6" s="3"/>
      <c r="M6" s="3"/>
      <c r="N6" s="3"/>
      <c r="O6" s="3"/>
      <c r="P6" s="3"/>
      <c r="Q6" s="3"/>
      <c r="R6" s="3"/>
      <c r="S6" s="3"/>
      <c r="T6" s="3"/>
      <c r="U6" s="3"/>
      <c r="V6" s="3"/>
    </row>
    <row r="7" spans="1:27" x14ac:dyDescent="0.25">
      <c r="A7" s="17" t="s">
        <v>1782</v>
      </c>
      <c r="B7" s="2"/>
      <c r="C7" s="3"/>
      <c r="D7" s="3"/>
      <c r="E7" s="3"/>
      <c r="F7" s="3"/>
      <c r="G7" s="3"/>
      <c r="H7" s="3"/>
      <c r="I7" s="3"/>
      <c r="J7" s="3"/>
      <c r="K7" s="3"/>
      <c r="L7" s="3"/>
      <c r="M7" s="3"/>
      <c r="N7" s="3"/>
      <c r="O7" s="3"/>
      <c r="P7" s="3"/>
      <c r="Q7" s="3"/>
      <c r="R7" s="3"/>
      <c r="S7" s="3"/>
      <c r="T7" s="3"/>
      <c r="U7" s="3"/>
      <c r="V7" s="3"/>
    </row>
    <row r="8" spans="1:27" x14ac:dyDescent="0.25">
      <c r="A8" s="17" t="s">
        <v>1783</v>
      </c>
      <c r="B8" s="2"/>
      <c r="Q8" s="3"/>
      <c r="R8" s="3"/>
      <c r="S8" s="3"/>
      <c r="T8" s="3"/>
      <c r="U8" s="3"/>
      <c r="V8" s="3"/>
    </row>
    <row r="9" spans="1:27" x14ac:dyDescent="0.25">
      <c r="A9" s="17" t="s">
        <v>1784</v>
      </c>
    </row>
    <row r="10" spans="1:27" x14ac:dyDescent="0.25">
      <c r="A10" s="17" t="s">
        <v>1785</v>
      </c>
    </row>
    <row r="11" spans="1:27" x14ac:dyDescent="0.25">
      <c r="A11" s="17" t="s">
        <v>1786</v>
      </c>
    </row>
    <row r="12" spans="1:27" x14ac:dyDescent="0.25">
      <c r="A12" s="17" t="s">
        <v>1787</v>
      </c>
    </row>
    <row r="13" spans="1:27" x14ac:dyDescent="0.25">
      <c r="A13" s="17" t="s">
        <v>1788</v>
      </c>
    </row>
    <row r="14" spans="1:27" x14ac:dyDescent="0.25">
      <c r="A14" s="17" t="s">
        <v>1789</v>
      </c>
    </row>
  </sheetData>
  <dataValidations count="1">
    <dataValidation allowBlank="1" showInputMessage="1" sqref="B6" xr:uid="{4F1D8732-6479-4EB6-BD51-1C369804828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If you are unable to find your school, double click on the cell to type it in." xr:uid="{947764F8-3366-44F9-8743-E96AB9E6422B}">
          <x14:formula1>
            <xm:f>'Higher Education Institutions'!$A:$A</xm:f>
          </x14:formula1>
          <xm:sqref>A3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
  <sheetViews>
    <sheetView workbookViewId="0">
      <selection activeCell="E2" sqref="E2:F2"/>
    </sheetView>
  </sheetViews>
  <sheetFormatPr defaultColWidth="11" defaultRowHeight="15.75" x14ac:dyDescent="0.25"/>
  <cols>
    <col min="1" max="1" width="35.1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58</v>
      </c>
    </row>
    <row r="2" spans="1:31" s="7" customFormat="1" ht="51" x14ac:dyDescent="0.2">
      <c r="A2" s="8" t="s">
        <v>62</v>
      </c>
      <c r="B2" s="8" t="s">
        <v>30</v>
      </c>
      <c r="C2" s="8" t="s">
        <v>80</v>
      </c>
      <c r="D2" s="8" t="s">
        <v>29</v>
      </c>
      <c r="E2" s="8" t="s">
        <v>8823</v>
      </c>
      <c r="F2" s="8" t="s">
        <v>8824</v>
      </c>
      <c r="G2" s="8" t="s">
        <v>26</v>
      </c>
      <c r="H2" s="8" t="s">
        <v>27</v>
      </c>
      <c r="I2" s="8" t="s">
        <v>32</v>
      </c>
      <c r="J2" s="8" t="s">
        <v>33</v>
      </c>
      <c r="K2" s="8" t="s">
        <v>34</v>
      </c>
      <c r="L2" s="8" t="s">
        <v>35</v>
      </c>
      <c r="M2" s="8" t="s">
        <v>36</v>
      </c>
      <c r="N2" s="8" t="s">
        <v>37</v>
      </c>
      <c r="O2" s="8" t="s">
        <v>13</v>
      </c>
      <c r="P2" s="8" t="s">
        <v>38</v>
      </c>
      <c r="Q2" s="8" t="s">
        <v>39</v>
      </c>
      <c r="R2" s="8" t="s">
        <v>40</v>
      </c>
      <c r="S2" s="8" t="s">
        <v>41</v>
      </c>
      <c r="T2" s="8" t="s">
        <v>0</v>
      </c>
      <c r="U2" s="8" t="s">
        <v>1</v>
      </c>
      <c r="V2" s="8" t="s">
        <v>42</v>
      </c>
      <c r="W2" s="8" t="s">
        <v>2</v>
      </c>
      <c r="X2" s="8" t="s">
        <v>3</v>
      </c>
      <c r="Y2" s="8" t="s">
        <v>16</v>
      </c>
      <c r="Z2" s="8" t="s">
        <v>17</v>
      </c>
      <c r="AA2" s="8" t="s">
        <v>43</v>
      </c>
      <c r="AB2" s="8" t="s">
        <v>4</v>
      </c>
      <c r="AC2" s="8" t="s">
        <v>5</v>
      </c>
      <c r="AD2" s="8" t="s">
        <v>18</v>
      </c>
      <c r="AE2" s="8" t="s">
        <v>19</v>
      </c>
    </row>
    <row r="3" spans="1:31" ht="24.75" x14ac:dyDescent="0.25">
      <c r="A3" s="20" t="s">
        <v>8822</v>
      </c>
      <c r="B3" s="9" t="s">
        <v>31</v>
      </c>
      <c r="C3" s="9" t="s">
        <v>81</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3"/>
      <c r="R5" s="3"/>
      <c r="S5" s="3"/>
      <c r="T5" s="3"/>
      <c r="U5" s="3"/>
      <c r="V5" s="3"/>
    </row>
    <row r="6" spans="1:31" x14ac:dyDescent="0.25">
      <c r="B6" s="2"/>
      <c r="C6" s="2"/>
      <c r="D6" s="2"/>
      <c r="E6" s="3"/>
      <c r="F6" s="3"/>
      <c r="G6" s="3"/>
      <c r="H6" s="3"/>
      <c r="I6" s="3"/>
      <c r="J6" s="3"/>
      <c r="K6" s="3"/>
      <c r="L6" s="3"/>
      <c r="M6" s="3"/>
      <c r="N6" s="3"/>
      <c r="O6" s="3"/>
      <c r="P6" s="3"/>
      <c r="Q6" s="3"/>
      <c r="R6" s="3"/>
      <c r="S6" s="3"/>
      <c r="T6" s="3"/>
      <c r="U6" s="3"/>
      <c r="V6" s="3"/>
    </row>
    <row r="7" spans="1:31" x14ac:dyDescent="0.25">
      <c r="B7" s="2"/>
      <c r="C7" s="2"/>
      <c r="D7" s="2"/>
      <c r="Q7" s="3"/>
      <c r="R7" s="3"/>
      <c r="S7" s="3"/>
      <c r="T7" s="3"/>
      <c r="U7" s="3"/>
      <c r="V7" s="3"/>
    </row>
  </sheetData>
  <pageMargins left="0.75" right="0.75" top="1" bottom="1" header="0.5" footer="0.5"/>
  <pageSetup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prompt="If you are unable to find your school, double click on the cell to type it in." xr:uid="{4ACABC47-AECE-4132-8E86-2D3B888303E4}">
          <x14:formula1>
            <xm:f>'Higher Education Institutions'!$A:$A</xm:f>
          </x14:formula1>
          <xm:sqref>A3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Definitions</vt:lpstr>
      <vt:lpstr>CIP Codes</vt:lpstr>
      <vt:lpstr>Higher Education Institutions</vt:lpstr>
      <vt:lpstr>Associate's Summary</vt:lpstr>
      <vt:lpstr>Bachelor's Summary</vt:lpstr>
      <vt:lpstr>Master's Summary</vt:lpstr>
      <vt:lpstr>Doctoral Summary</vt:lpstr>
      <vt:lpstr>Program Data Associate's</vt:lpstr>
      <vt:lpstr>Program Data - Bachelor's</vt:lpstr>
      <vt:lpstr>Program Data - Master's</vt:lpstr>
      <vt:lpstr>Program Data - Doctoral</vt:lpstr>
    </vt:vector>
  </TitlesOfParts>
  <Company>RIT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Contomanolis</dc:creator>
  <cp:lastModifiedBy>alongenberger</cp:lastModifiedBy>
  <dcterms:created xsi:type="dcterms:W3CDTF">2013-09-30T16:27:09Z</dcterms:created>
  <dcterms:modified xsi:type="dcterms:W3CDTF">2023-08-02T16:58:56Z</dcterms:modified>
</cp:coreProperties>
</file>